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mc:AlternateContent xmlns:mc="http://schemas.openxmlformats.org/markup-compatibility/2006">
    <mc:Choice Requires="x15">
      <x15ac:absPath xmlns:x15ac="http://schemas.microsoft.com/office/spreadsheetml/2010/11/ac" url="https://d.docs.live.net/b86cbe19bde26c9f/Desktop/EStimates seure/"/>
    </mc:Choice>
  </mc:AlternateContent>
  <xr:revisionPtr revIDLastSave="0" documentId="8_{5C2780B4-ADF3-46B2-8930-2415C645AB1E}" xr6:coauthVersionLast="45" xr6:coauthVersionMax="45" xr10:uidLastSave="{00000000-0000-0000-0000-000000000000}"/>
  <bookViews>
    <workbookView xWindow="-420" yWindow="480" windowWidth="10125" windowHeight="10920" tabRatio="675" firstSheet="3" activeTab="4" xr2:uid="{00000000-000D-0000-FFFF-FFFF00000000}"/>
  </bookViews>
  <sheets>
    <sheet name="Technical Report" sheetId="31" r:id="rId1"/>
    <sheet name="Input data" sheetId="29" r:id="rId2"/>
    <sheet name="Design Nala Bund Drg &amp; Summary" sheetId="22" r:id="rId3"/>
    <sheet name="Qty estimate" sheetId="30" r:id="rId4"/>
    <sheet name="cost estimate" sheetId="23" r:id="rId5"/>
    <sheet name=" Abstract cost " sheetId="32" r:id="rId6"/>
    <sheet name="Design Nala Bund Drg &amp; Summ (P)" sheetId="33" state="hidden" r:id="rId7"/>
    <sheet name="WW Plan" sheetId="24" state="hidden" r:id="rId8"/>
    <sheet name="Boq SW" sheetId="25" state="hidden" r:id="rId9"/>
    <sheet name="Sheet3" sheetId="26" state="hidden" r:id="rId10"/>
  </sheets>
  <definedNames>
    <definedName name="_xlnm.Print_Area" localSheetId="5">' Abstract cost '!$A$1:$J$57</definedName>
    <definedName name="_xlnm.Print_Area" localSheetId="8">'Boq SW'!$A$1:$J$39</definedName>
    <definedName name="_xlnm.Print_Area" localSheetId="4">'cost estimate'!$A$1:$O$71</definedName>
    <definedName name="_xlnm.Print_Area" localSheetId="6">'Design Nala Bund Drg &amp; Summ (P)'!$A$1:$T$55</definedName>
    <definedName name="_xlnm.Print_Area" localSheetId="2">'Design Nala Bund Drg &amp; Summary'!$A$1:$T$65</definedName>
    <definedName name="_xlnm.Print_Area" localSheetId="1">'Input data'!$A$1:$L$79</definedName>
    <definedName name="_xlnm.Print_Area" localSheetId="3">'Qty estimate'!$A$1:$V$30</definedName>
    <definedName name="_xlnm.Print_Area" localSheetId="0">'Technical Report'!$A$1:$D$54</definedName>
    <definedName name="_xlnm.Print_Area" localSheetId="7">'WW Plan'!$A$1:$BS$67</definedName>
    <definedName name="_xlnm.Print_Titles" localSheetId="5">' Abstract cost '!$4:$5</definedName>
    <definedName name="_xlnm.Print_Titles" localSheetId="4">'cost estimate'!$5:$6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4" i="23" l="1"/>
  <c r="K54" i="23"/>
  <c r="M53" i="23"/>
  <c r="K53" i="23"/>
  <c r="M52" i="23"/>
  <c r="K52" i="23"/>
  <c r="M50" i="23"/>
  <c r="K50" i="23"/>
  <c r="K37" i="23"/>
  <c r="K36" i="23"/>
  <c r="L31" i="23"/>
  <c r="L23" i="23"/>
  <c r="D6" i="29" l="1"/>
  <c r="D13" i="22" l="1"/>
  <c r="Y67" i="33"/>
  <c r="B45" i="33"/>
  <c r="B41" i="33"/>
  <c r="D36" i="33"/>
  <c r="D32" i="33"/>
  <c r="D30" i="33"/>
  <c r="D23" i="33"/>
  <c r="D22" i="33"/>
  <c r="D20" i="33"/>
  <c r="D17" i="33"/>
  <c r="D31" i="33" s="1"/>
  <c r="Y12" i="33"/>
  <c r="AB12" i="33" s="1"/>
  <c r="AB13" i="33" s="1"/>
  <c r="AB14" i="33" s="1"/>
  <c r="AB15" i="33" s="1"/>
  <c r="AB16" i="33" s="1"/>
  <c r="AB17" i="33" s="1"/>
  <c r="AB18" i="33" s="1"/>
  <c r="AB19" i="33" s="1"/>
  <c r="AB20" i="33" s="1"/>
  <c r="AB21" i="33" s="1"/>
  <c r="AB22" i="33" s="1"/>
  <c r="D12" i="33"/>
  <c r="D8" i="33"/>
  <c r="D19" i="33" s="1"/>
  <c r="D6" i="33"/>
  <c r="D5" i="33"/>
  <c r="D3" i="33"/>
  <c r="C51" i="32"/>
  <c r="J44" i="32"/>
  <c r="J43" i="32"/>
  <c r="G41" i="32"/>
  <c r="I41" i="32" s="1"/>
  <c r="G40" i="32"/>
  <c r="J40" i="32" s="1"/>
  <c r="H38" i="32"/>
  <c r="F38" i="32"/>
  <c r="H37" i="32"/>
  <c r="F37" i="32"/>
  <c r="H36" i="32"/>
  <c r="F36" i="32"/>
  <c r="H34" i="32"/>
  <c r="F34" i="32"/>
  <c r="H25" i="32"/>
  <c r="H24" i="32"/>
  <c r="H23" i="32"/>
  <c r="H21" i="32"/>
  <c r="H10" i="32"/>
  <c r="D7" i="33" l="1"/>
  <c r="D9" i="33" s="1"/>
  <c r="D18" i="33" s="1"/>
  <c r="D53" i="33" s="1"/>
  <c r="D54" i="33" s="1"/>
  <c r="D33" i="33"/>
  <c r="Y64" i="33"/>
  <c r="Y65" i="33" s="1"/>
  <c r="AC12" i="33"/>
  <c r="J41" i="32"/>
  <c r="F3" i="23"/>
  <c r="D55" i="33" l="1"/>
  <c r="AC13" i="33"/>
  <c r="Z12" i="33"/>
  <c r="D36" i="22"/>
  <c r="M15" i="23"/>
  <c r="I14" i="23"/>
  <c r="C3" i="23"/>
  <c r="Z13" i="33" l="1"/>
  <c r="AC14" i="33"/>
  <c r="M36" i="23"/>
  <c r="M37" i="23"/>
  <c r="B45" i="22"/>
  <c r="B41" i="22"/>
  <c r="D8" i="22"/>
  <c r="D30" i="22"/>
  <c r="Z14" i="33" l="1"/>
  <c r="AC15" i="33"/>
  <c r="AC16" i="33" l="1"/>
  <c r="Z15" i="33"/>
  <c r="D20" i="22"/>
  <c r="D6" i="22"/>
  <c r="D5" i="22"/>
  <c r="AC17" i="33" l="1"/>
  <c r="Z16" i="33"/>
  <c r="C17" i="30"/>
  <c r="B17" i="30" s="1"/>
  <c r="Y24" i="33" s="1"/>
  <c r="D16" i="29"/>
  <c r="D4" i="33" s="1"/>
  <c r="Z17" i="33" l="1"/>
  <c r="AC18" i="33"/>
  <c r="D19" i="22"/>
  <c r="Z18" i="33" l="1"/>
  <c r="AC19" i="33"/>
  <c r="D3" i="22"/>
  <c r="D4" i="22"/>
  <c r="Y67" i="22"/>
  <c r="I16" i="30"/>
  <c r="I17" i="30"/>
  <c r="M35" i="23"/>
  <c r="M33" i="23"/>
  <c r="H5" i="25"/>
  <c r="F8" i="26" s="1"/>
  <c r="L19" i="30"/>
  <c r="I19" i="30"/>
  <c r="E19" i="30"/>
  <c r="C19" i="30"/>
  <c r="B19" i="30" s="1"/>
  <c r="L18" i="30"/>
  <c r="I18" i="30"/>
  <c r="E18" i="30"/>
  <c r="L17" i="30"/>
  <c r="E17" i="30"/>
  <c r="L16" i="30"/>
  <c r="B16" i="30"/>
  <c r="C15" i="30"/>
  <c r="C14" i="30"/>
  <c r="C13" i="30"/>
  <c r="C12" i="30"/>
  <c r="C11" i="30"/>
  <c r="C10" i="30"/>
  <c r="C9" i="30"/>
  <c r="C8" i="30"/>
  <c r="C7" i="30"/>
  <c r="C6" i="30"/>
  <c r="V5" i="30"/>
  <c r="G5" i="30"/>
  <c r="C5" i="30"/>
  <c r="A5" i="30"/>
  <c r="D32" i="22"/>
  <c r="D45" i="29"/>
  <c r="B32" i="29" s="1"/>
  <c r="G3" i="25"/>
  <c r="D22" i="22"/>
  <c r="D23" i="22"/>
  <c r="D17" i="22"/>
  <c r="Y64" i="22" s="1"/>
  <c r="Y65" i="22" s="1"/>
  <c r="D12" i="22"/>
  <c r="F40" i="26"/>
  <c r="G40" i="26"/>
  <c r="F41" i="26"/>
  <c r="F42" i="26"/>
  <c r="G42" i="26"/>
  <c r="E43" i="26"/>
  <c r="F43" i="26"/>
  <c r="G43" i="26"/>
  <c r="D41" i="26"/>
  <c r="D42" i="26"/>
  <c r="D43" i="26"/>
  <c r="D40" i="26"/>
  <c r="D33" i="26"/>
  <c r="F33" i="26"/>
  <c r="D34" i="26"/>
  <c r="D35" i="26"/>
  <c r="E35" i="26"/>
  <c r="F35" i="26"/>
  <c r="D36" i="26"/>
  <c r="F36" i="26"/>
  <c r="D32" i="26"/>
  <c r="F26" i="26"/>
  <c r="G26" i="26"/>
  <c r="F27" i="26"/>
  <c r="G28" i="26"/>
  <c r="G21" i="26"/>
  <c r="F11" i="26"/>
  <c r="G11" i="26"/>
  <c r="G12" i="26"/>
  <c r="N52" i="26"/>
  <c r="N51" i="26"/>
  <c r="L19" i="26"/>
  <c r="J37" i="25"/>
  <c r="G35" i="25"/>
  <c r="E41" i="26" s="1"/>
  <c r="I23" i="25"/>
  <c r="G27" i="26" s="1"/>
  <c r="I18" i="25"/>
  <c r="G22" i="26" s="1"/>
  <c r="I11" i="25"/>
  <c r="G13" i="26" s="1"/>
  <c r="F13" i="26"/>
  <c r="G23" i="26"/>
  <c r="H17" i="25"/>
  <c r="F21" i="26" s="1"/>
  <c r="BA63" i="24"/>
  <c r="X15" i="24"/>
  <c r="O60" i="23"/>
  <c r="O59" i="23"/>
  <c r="Y12" i="22"/>
  <c r="J30" i="25"/>
  <c r="H18" i="25"/>
  <c r="F22" i="26" s="1"/>
  <c r="F32" i="26"/>
  <c r="E32" i="26"/>
  <c r="AD52" i="22" l="1"/>
  <c r="AA20" i="33"/>
  <c r="AD52" i="33"/>
  <c r="AD45" i="22"/>
  <c r="AA13" i="33"/>
  <c r="AD45" i="33"/>
  <c r="AD53" i="22"/>
  <c r="AA21" i="33"/>
  <c r="AD53" i="33"/>
  <c r="AD46" i="22"/>
  <c r="AD46" i="33"/>
  <c r="AA14" i="33"/>
  <c r="AD54" i="22"/>
  <c r="AA22" i="33"/>
  <c r="AD54" i="33"/>
  <c r="Y26" i="22"/>
  <c r="Y27" i="22" s="1"/>
  <c r="Y26" i="33"/>
  <c r="Y27" i="33" s="1"/>
  <c r="AD51" i="22"/>
  <c r="AA19" i="33"/>
  <c r="AD51" i="33"/>
  <c r="AD47" i="22"/>
  <c r="AA15" i="33"/>
  <c r="AD47" i="33"/>
  <c r="AD48" i="22"/>
  <c r="AD48" i="33"/>
  <c r="AA16" i="33"/>
  <c r="X12" i="22"/>
  <c r="W44" i="22" s="1"/>
  <c r="X12" i="33"/>
  <c r="W44" i="33" s="1"/>
  <c r="AD49" i="22"/>
  <c r="AD49" i="33"/>
  <c r="AA17" i="33"/>
  <c r="Y23" i="22"/>
  <c r="Y23" i="33"/>
  <c r="AD44" i="22"/>
  <c r="AD44" i="33"/>
  <c r="AA12" i="33"/>
  <c r="AD50" i="22"/>
  <c r="AA18" i="33"/>
  <c r="AD50" i="33"/>
  <c r="AC20" i="33"/>
  <c r="Z19" i="33"/>
  <c r="H29" i="25"/>
  <c r="B15" i="30"/>
  <c r="AA12" i="22"/>
  <c r="N6" i="30"/>
  <c r="O6" i="30" s="1"/>
  <c r="K6" i="30"/>
  <c r="AB12" i="22"/>
  <c r="AB13" i="22" s="1"/>
  <c r="AB14" i="22" s="1"/>
  <c r="AB15" i="22" s="1"/>
  <c r="AB16" i="22" s="1"/>
  <c r="AB17" i="22" s="1"/>
  <c r="AB18" i="22" s="1"/>
  <c r="AB19" i="22" s="1"/>
  <c r="AB20" i="22" s="1"/>
  <c r="AB21" i="22" s="1"/>
  <c r="AB22" i="22" s="1"/>
  <c r="AC12" i="22"/>
  <c r="AA15" i="22"/>
  <c r="K8" i="30"/>
  <c r="B12" i="30"/>
  <c r="K12" i="30"/>
  <c r="AA16" i="22"/>
  <c r="K9" i="30"/>
  <c r="AA20" i="22"/>
  <c r="K13" i="30"/>
  <c r="AA13" i="22"/>
  <c r="B10" i="30"/>
  <c r="K10" i="30"/>
  <c r="AA21" i="22"/>
  <c r="K14" i="30"/>
  <c r="AA14" i="22"/>
  <c r="K7" i="30"/>
  <c r="AA18" i="22"/>
  <c r="K11" i="30"/>
  <c r="H35" i="26"/>
  <c r="H43" i="26"/>
  <c r="H32" i="26"/>
  <c r="AA19" i="22"/>
  <c r="N12" i="30"/>
  <c r="B8" i="30"/>
  <c r="D7" i="22"/>
  <c r="D9" i="22" s="1"/>
  <c r="D55" i="22" s="1"/>
  <c r="A6" i="30"/>
  <c r="B33" i="29"/>
  <c r="B9" i="30"/>
  <c r="T12" i="30"/>
  <c r="B14" i="30"/>
  <c r="B13" i="30"/>
  <c r="AA17" i="22"/>
  <c r="N7" i="30"/>
  <c r="N9" i="30"/>
  <c r="T6" i="30"/>
  <c r="C18" i="30"/>
  <c r="D21" i="22" s="1"/>
  <c r="Y24" i="22"/>
  <c r="N15" i="30"/>
  <c r="N14" i="30"/>
  <c r="U15" i="24"/>
  <c r="BD16" i="24" s="1"/>
  <c r="N11" i="30"/>
  <c r="B11" i="30"/>
  <c r="B6" i="30"/>
  <c r="B7" i="30"/>
  <c r="AA22" i="22"/>
  <c r="T13" i="30"/>
  <c r="T5" i="30"/>
  <c r="T9" i="30"/>
  <c r="N8" i="30"/>
  <c r="D31" i="22"/>
  <c r="D33" i="22" s="1"/>
  <c r="T11" i="30"/>
  <c r="N10" i="30"/>
  <c r="T10" i="30"/>
  <c r="N13" i="30"/>
  <c r="T14" i="30"/>
  <c r="T8" i="30"/>
  <c r="T7" i="30"/>
  <c r="T15" i="30"/>
  <c r="Y21" i="22" l="1"/>
  <c r="Y21" i="33"/>
  <c r="Y14" i="22"/>
  <c r="Y14" i="33"/>
  <c r="Y16" i="22"/>
  <c r="Y16" i="33"/>
  <c r="Y19" i="22"/>
  <c r="Y19" i="33"/>
  <c r="Y22" i="22"/>
  <c r="Y22" i="33"/>
  <c r="Y13" i="22"/>
  <c r="Y13" i="33"/>
  <c r="Y17" i="22"/>
  <c r="Y17" i="33"/>
  <c r="Y18" i="22"/>
  <c r="Y18" i="33"/>
  <c r="F6" i="30"/>
  <c r="P6" i="30" s="1"/>
  <c r="X13" i="33"/>
  <c r="W45" i="33" s="1"/>
  <c r="Y15" i="22"/>
  <c r="Y15" i="33"/>
  <c r="Y20" i="22"/>
  <c r="Y20" i="33"/>
  <c r="D21" i="33"/>
  <c r="AC21" i="33"/>
  <c r="Z20" i="33"/>
  <c r="F34" i="26"/>
  <c r="I35" i="25"/>
  <c r="Z12" i="22"/>
  <c r="AC13" i="22"/>
  <c r="AC14" i="22" s="1"/>
  <c r="AC15" i="22" s="1"/>
  <c r="AC16" i="22" s="1"/>
  <c r="AC17" i="22" s="1"/>
  <c r="AC18" i="22" s="1"/>
  <c r="AC19" i="22" s="1"/>
  <c r="AC20" i="22" s="1"/>
  <c r="AC21" i="22" s="1"/>
  <c r="AC22" i="22" s="1"/>
  <c r="AC23" i="22" s="1"/>
  <c r="AC24" i="22" s="1"/>
  <c r="O12" i="30"/>
  <c r="D14" i="22"/>
  <c r="X63" i="22"/>
  <c r="O13" i="30"/>
  <c r="U6" i="30"/>
  <c r="U15" i="30"/>
  <c r="X13" i="22"/>
  <c r="W45" i="22" s="1"/>
  <c r="O8" i="30"/>
  <c r="U13" i="30"/>
  <c r="B34" i="29"/>
  <c r="A7" i="30"/>
  <c r="X14" i="33" s="1"/>
  <c r="W46" i="33" s="1"/>
  <c r="O10" i="30"/>
  <c r="D18" i="22"/>
  <c r="D53" i="22" s="1"/>
  <c r="AR58" i="24"/>
  <c r="U7" i="30"/>
  <c r="B18" i="30"/>
  <c r="O15" i="30"/>
  <c r="L13" i="30"/>
  <c r="L6" i="30"/>
  <c r="O7" i="30"/>
  <c r="O11" i="30"/>
  <c r="U11" i="30"/>
  <c r="U12" i="30"/>
  <c r="W62" i="22"/>
  <c r="Z58" i="22" s="1"/>
  <c r="V62" i="22"/>
  <c r="H10" i="25"/>
  <c r="O9" i="30"/>
  <c r="U14" i="30"/>
  <c r="U8" i="30"/>
  <c r="U9" i="30"/>
  <c r="O14" i="30"/>
  <c r="U10" i="30"/>
  <c r="Y25" i="22" l="1"/>
  <c r="Y25" i="33"/>
  <c r="D14" i="33"/>
  <c r="V62" i="33"/>
  <c r="W62" i="33"/>
  <c r="X63" i="33"/>
  <c r="V6" i="30"/>
  <c r="M6" i="30"/>
  <c r="Z21" i="33"/>
  <c r="Z25" i="33" s="1"/>
  <c r="AC25" i="33" s="1"/>
  <c r="AC22" i="33"/>
  <c r="D16" i="22"/>
  <c r="H10" i="30" s="1"/>
  <c r="L3" i="23"/>
  <c r="G41" i="26"/>
  <c r="H41" i="26" s="1"/>
  <c r="J35" i="25"/>
  <c r="G5" i="25"/>
  <c r="G9" i="25" s="1"/>
  <c r="L10" i="30"/>
  <c r="X14" i="22"/>
  <c r="W46" i="22" s="1"/>
  <c r="F7" i="30"/>
  <c r="V7" i="30" s="1"/>
  <c r="B35" i="29"/>
  <c r="A8" i="30"/>
  <c r="X15" i="33" s="1"/>
  <c r="W47" i="33" s="1"/>
  <c r="AH15" i="24"/>
  <c r="AI32" i="24" s="1"/>
  <c r="L8" i="30"/>
  <c r="L7" i="30"/>
  <c r="L11" i="30"/>
  <c r="L15" i="30"/>
  <c r="L14" i="30"/>
  <c r="L12" i="30"/>
  <c r="L9" i="30"/>
  <c r="D13" i="30"/>
  <c r="D9" i="30"/>
  <c r="Q10" i="30"/>
  <c r="D29" i="22"/>
  <c r="D35" i="22" s="1"/>
  <c r="Z44" i="22"/>
  <c r="D6" i="30"/>
  <c r="Q6" i="30"/>
  <c r="D10" i="30"/>
  <c r="Y44" i="22"/>
  <c r="Q11" i="30"/>
  <c r="D8" i="30"/>
  <c r="D14" i="30"/>
  <c r="Q7" i="30"/>
  <c r="Q9" i="30"/>
  <c r="D12" i="30"/>
  <c r="Q5" i="30"/>
  <c r="D7" i="30"/>
  <c r="D5" i="30"/>
  <c r="Q8" i="30"/>
  <c r="Q15" i="30"/>
  <c r="D15" i="30"/>
  <c r="Q14" i="30"/>
  <c r="Q13" i="30"/>
  <c r="D15" i="22"/>
  <c r="Q12" i="30"/>
  <c r="D11" i="30"/>
  <c r="H19" i="25"/>
  <c r="F12" i="26"/>
  <c r="AE48" i="24"/>
  <c r="T58" i="24" s="1"/>
  <c r="W63" i="22"/>
  <c r="W64" i="22"/>
  <c r="X66" i="22"/>
  <c r="X64" i="22"/>
  <c r="X65" i="22" s="1"/>
  <c r="V63" i="22"/>
  <c r="J5" i="25"/>
  <c r="X66" i="33" l="1"/>
  <c r="X64" i="33"/>
  <c r="X65" i="33" s="1"/>
  <c r="W64" i="33"/>
  <c r="Z58" i="33"/>
  <c r="W63" i="33"/>
  <c r="V63" i="33"/>
  <c r="D15" i="33"/>
  <c r="Z44" i="33"/>
  <c r="Y44" i="33"/>
  <c r="D29" i="33"/>
  <c r="D16" i="33"/>
  <c r="AC23" i="33"/>
  <c r="AC24" i="33" s="1"/>
  <c r="Z24" i="33" s="1"/>
  <c r="Z22" i="33"/>
  <c r="H14" i="30"/>
  <c r="I15" i="30" s="1"/>
  <c r="H8" i="30"/>
  <c r="H9" i="30"/>
  <c r="H13" i="30"/>
  <c r="H7" i="30"/>
  <c r="H6" i="30"/>
  <c r="I6" i="30" s="1"/>
  <c r="J6" i="30" s="1"/>
  <c r="H12" i="30"/>
  <c r="H11" i="30"/>
  <c r="N3" i="23"/>
  <c r="G8" i="23" s="1"/>
  <c r="D34" i="22"/>
  <c r="E8" i="26"/>
  <c r="H8" i="26" s="1"/>
  <c r="K8" i="26" s="1"/>
  <c r="M8" i="26" s="1"/>
  <c r="E14" i="30"/>
  <c r="P7" i="30"/>
  <c r="F8" i="30"/>
  <c r="M8" i="30" s="1"/>
  <c r="X15" i="22"/>
  <c r="W47" i="22" s="1"/>
  <c r="M7" i="30"/>
  <c r="B36" i="29"/>
  <c r="A9" i="30"/>
  <c r="X16" i="33" s="1"/>
  <c r="W48" i="33" s="1"/>
  <c r="R12" i="30"/>
  <c r="E7" i="30"/>
  <c r="G7" i="30" s="1"/>
  <c r="R15" i="30"/>
  <c r="E10" i="30"/>
  <c r="R13" i="30"/>
  <c r="R8" i="30"/>
  <c r="E12" i="30"/>
  <c r="E8" i="30"/>
  <c r="R10" i="30"/>
  <c r="AA58" i="22"/>
  <c r="AA59" i="22" s="1"/>
  <c r="W60" i="22" s="1"/>
  <c r="Z59" i="22"/>
  <c r="AB59" i="22" s="1"/>
  <c r="F23" i="26"/>
  <c r="H24" i="25"/>
  <c r="W65" i="22"/>
  <c r="W66" i="22"/>
  <c r="W67" i="22" s="1"/>
  <c r="W68" i="22"/>
  <c r="E15" i="30"/>
  <c r="E16" i="30"/>
  <c r="X44" i="22"/>
  <c r="Y45" i="22"/>
  <c r="Z45" i="22"/>
  <c r="AA44" i="22"/>
  <c r="AB44" i="22" s="1"/>
  <c r="R14" i="30"/>
  <c r="BF40" i="24"/>
  <c r="G11" i="25" s="1"/>
  <c r="R6" i="30"/>
  <c r="S6" i="30" s="1"/>
  <c r="E13" i="30"/>
  <c r="R7" i="30"/>
  <c r="S7" i="30" s="1"/>
  <c r="V64" i="22"/>
  <c r="V65" i="22" s="1"/>
  <c r="V66" i="22" s="1"/>
  <c r="V67" i="22" s="1"/>
  <c r="V68" i="22" s="1"/>
  <c r="V69" i="22" s="1"/>
  <c r="E11" i="30"/>
  <c r="R9" i="30"/>
  <c r="R11" i="30"/>
  <c r="E6" i="30"/>
  <c r="G6" i="30" s="1"/>
  <c r="E9" i="30"/>
  <c r="J9" i="25"/>
  <c r="G17" i="25"/>
  <c r="G10" i="25"/>
  <c r="E11" i="26"/>
  <c r="H11" i="26" s="1"/>
  <c r="D34" i="33" l="1"/>
  <c r="D38" i="33" s="1"/>
  <c r="D35" i="33"/>
  <c r="D39" i="33" s="1"/>
  <c r="Y45" i="33"/>
  <c r="X44" i="33"/>
  <c r="V64" i="33"/>
  <c r="V65" i="33" s="1"/>
  <c r="V66" i="33" s="1"/>
  <c r="V67" i="33" s="1"/>
  <c r="V68" i="33" s="1"/>
  <c r="V69" i="33" s="1"/>
  <c r="W68" i="33"/>
  <c r="W65" i="33"/>
  <c r="W66" i="33"/>
  <c r="W67" i="33" s="1"/>
  <c r="Z45" i="33"/>
  <c r="AA44" i="33"/>
  <c r="AB44" i="33" s="1"/>
  <c r="Z59" i="33"/>
  <c r="AB59" i="33" s="1"/>
  <c r="AA58" i="33"/>
  <c r="AA59" i="33" s="1"/>
  <c r="Z23" i="33"/>
  <c r="AA60" i="22"/>
  <c r="AB60" i="22" s="1"/>
  <c r="AB61" i="22" s="1"/>
  <c r="V60" i="22"/>
  <c r="V61" i="22" s="1"/>
  <c r="W61" i="22" s="1"/>
  <c r="S8" i="30"/>
  <c r="G8" i="30"/>
  <c r="I11" i="30"/>
  <c r="B37" i="29"/>
  <c r="A10" i="30"/>
  <c r="X17" i="33" s="1"/>
  <c r="W49" i="33" s="1"/>
  <c r="P8" i="30"/>
  <c r="V8" i="30"/>
  <c r="X16" i="22"/>
  <c r="W48" i="22" s="1"/>
  <c r="F9" i="30"/>
  <c r="G9" i="30" s="1"/>
  <c r="I10" i="30"/>
  <c r="I8" i="30"/>
  <c r="J8" i="30" s="1"/>
  <c r="I13" i="30"/>
  <c r="I14" i="30"/>
  <c r="X45" i="22"/>
  <c r="Y46" i="22"/>
  <c r="E13" i="26"/>
  <c r="H13" i="26" s="1"/>
  <c r="J11" i="25"/>
  <c r="G18" i="25"/>
  <c r="AA45" i="22"/>
  <c r="AB45" i="22" s="1"/>
  <c r="Z46" i="22"/>
  <c r="G36" i="25"/>
  <c r="F28" i="26"/>
  <c r="V59" i="22"/>
  <c r="W59" i="22" s="1"/>
  <c r="I12" i="30"/>
  <c r="I7" i="30"/>
  <c r="J7" i="30" s="1"/>
  <c r="I9" i="30"/>
  <c r="G19" i="25"/>
  <c r="E21" i="26"/>
  <c r="H21" i="26" s="1"/>
  <c r="G22" i="25"/>
  <c r="J17" i="25"/>
  <c r="J10" i="25"/>
  <c r="E12" i="26"/>
  <c r="H12" i="26" s="1"/>
  <c r="W60" i="33" l="1"/>
  <c r="V59" i="33"/>
  <c r="W59" i="33" s="1"/>
  <c r="V60" i="33"/>
  <c r="V61" i="33" s="1"/>
  <c r="W61" i="33" s="1"/>
  <c r="AA60" i="33"/>
  <c r="AB60" i="33" s="1"/>
  <c r="AB61" i="33" s="1"/>
  <c r="Y46" i="33"/>
  <c r="X45" i="33"/>
  <c r="D37" i="33"/>
  <c r="D40" i="33" s="1"/>
  <c r="D41" i="33" s="1"/>
  <c r="D42" i="33" s="1"/>
  <c r="Z46" i="33"/>
  <c r="AA45" i="33"/>
  <c r="AB45" i="33" s="1"/>
  <c r="J9" i="30"/>
  <c r="H14" i="26"/>
  <c r="H15" i="26" s="1"/>
  <c r="P9" i="30"/>
  <c r="V9" i="30"/>
  <c r="M9" i="30"/>
  <c r="A11" i="30"/>
  <c r="X18" i="33" s="1"/>
  <c r="W50" i="33" s="1"/>
  <c r="B38" i="29"/>
  <c r="S9" i="30"/>
  <c r="X17" i="22"/>
  <c r="W49" i="22" s="1"/>
  <c r="F10" i="30"/>
  <c r="J10" i="30" s="1"/>
  <c r="E22" i="26"/>
  <c r="H22" i="26" s="1"/>
  <c r="J18" i="25"/>
  <c r="G23" i="25"/>
  <c r="J36" i="25"/>
  <c r="E42" i="26"/>
  <c r="H42" i="26" s="1"/>
  <c r="Z47" i="22"/>
  <c r="AA46" i="22"/>
  <c r="AB46" i="22" s="1"/>
  <c r="Y47" i="22"/>
  <c r="X46" i="22"/>
  <c r="J13" i="25"/>
  <c r="G15" i="25" s="1"/>
  <c r="G28" i="25"/>
  <c r="J22" i="25"/>
  <c r="E26" i="26"/>
  <c r="H26" i="26" s="1"/>
  <c r="G24" i="25"/>
  <c r="J19" i="25"/>
  <c r="E23" i="26"/>
  <c r="H23" i="26" s="1"/>
  <c r="Z47" i="33" l="1"/>
  <c r="AA46" i="33"/>
  <c r="AB46" i="33" s="1"/>
  <c r="Y47" i="33"/>
  <c r="X46" i="33"/>
  <c r="H16" i="26"/>
  <c r="M16" i="26" s="1"/>
  <c r="F11" i="30"/>
  <c r="X18" i="22"/>
  <c r="W50" i="22" s="1"/>
  <c r="B39" i="29"/>
  <c r="A12" i="30"/>
  <c r="X19" i="33" s="1"/>
  <c r="W51" i="33" s="1"/>
  <c r="V10" i="30"/>
  <c r="P10" i="30"/>
  <c r="M10" i="30"/>
  <c r="S10" i="30"/>
  <c r="G10" i="30"/>
  <c r="H24" i="26"/>
  <c r="K24" i="26" s="1"/>
  <c r="J20" i="25"/>
  <c r="AA47" i="22"/>
  <c r="AB47" i="22" s="1"/>
  <c r="Z48" i="22"/>
  <c r="E27" i="26"/>
  <c r="H27" i="26" s="1"/>
  <c r="J23" i="25"/>
  <c r="G29" i="25"/>
  <c r="X47" i="22"/>
  <c r="Y48" i="22"/>
  <c r="J24" i="25"/>
  <c r="E28" i="26"/>
  <c r="H28" i="26" s="1"/>
  <c r="E33" i="26"/>
  <c r="H33" i="26" s="1"/>
  <c r="J28" i="25"/>
  <c r="G34" i="25"/>
  <c r="G31" i="25"/>
  <c r="M15" i="26"/>
  <c r="K15" i="26"/>
  <c r="Y48" i="33" l="1"/>
  <c r="X47" i="33"/>
  <c r="Z48" i="33"/>
  <c r="AA47" i="33"/>
  <c r="AB47" i="33" s="1"/>
  <c r="K16" i="26"/>
  <c r="K17" i="26" s="1"/>
  <c r="M24" i="26"/>
  <c r="N24" i="26" s="1"/>
  <c r="B40" i="29"/>
  <c r="A13" i="30"/>
  <c r="X20" i="33" s="1"/>
  <c r="W52" i="33" s="1"/>
  <c r="X19" i="22"/>
  <c r="W51" i="22" s="1"/>
  <c r="F12" i="30"/>
  <c r="P11" i="30"/>
  <c r="V11" i="30"/>
  <c r="M11" i="30"/>
  <c r="J11" i="30"/>
  <c r="S11" i="30"/>
  <c r="G11" i="30"/>
  <c r="H29" i="26"/>
  <c r="M29" i="26" s="1"/>
  <c r="J25" i="25"/>
  <c r="H15" i="25" s="1"/>
  <c r="J15" i="25" s="1"/>
  <c r="H19" i="26" s="1"/>
  <c r="K19" i="26" s="1"/>
  <c r="Y49" i="22"/>
  <c r="X48" i="22"/>
  <c r="E34" i="26"/>
  <c r="H34" i="26" s="1"/>
  <c r="J29" i="25"/>
  <c r="AA48" i="22"/>
  <c r="AB48" i="22" s="1"/>
  <c r="Z49" i="22"/>
  <c r="E40" i="26"/>
  <c r="H40" i="26" s="1"/>
  <c r="H44" i="26" s="1"/>
  <c r="J34" i="25"/>
  <c r="J38" i="25" s="1"/>
  <c r="J31" i="25"/>
  <c r="E36" i="26"/>
  <c r="H36" i="26" s="1"/>
  <c r="M17" i="26"/>
  <c r="N15" i="26"/>
  <c r="Y49" i="33" l="1"/>
  <c r="X48" i="33"/>
  <c r="Z49" i="33"/>
  <c r="AA48" i="33"/>
  <c r="AB48" i="33" s="1"/>
  <c r="N16" i="26"/>
  <c r="P12" i="30"/>
  <c r="V12" i="30"/>
  <c r="M12" i="30"/>
  <c r="S12" i="30"/>
  <c r="G12" i="30"/>
  <c r="J12" i="30"/>
  <c r="B41" i="29"/>
  <c r="A15" i="30" s="1"/>
  <c r="A14" i="30"/>
  <c r="X20" i="22"/>
  <c r="W52" i="22" s="1"/>
  <c r="F13" i="30"/>
  <c r="K29" i="26"/>
  <c r="N29" i="26" s="1"/>
  <c r="H37" i="26"/>
  <c r="K37" i="26" s="1"/>
  <c r="J32" i="25"/>
  <c r="M19" i="26"/>
  <c r="N19" i="26" s="1"/>
  <c r="X49" i="22"/>
  <c r="Y50" i="22"/>
  <c r="AA49" i="22"/>
  <c r="AB49" i="22" s="1"/>
  <c r="Z50" i="22"/>
  <c r="M44" i="26"/>
  <c r="K44" i="26"/>
  <c r="N17" i="26"/>
  <c r="F44" i="23" l="1"/>
  <c r="I44" i="23" s="1"/>
  <c r="X21" i="33"/>
  <c r="W53" i="33" s="1"/>
  <c r="J3" i="23"/>
  <c r="X22" i="33"/>
  <c r="W54" i="33" s="1"/>
  <c r="Z50" i="33"/>
  <c r="AA49" i="33"/>
  <c r="AB49" i="33" s="1"/>
  <c r="Y50" i="33"/>
  <c r="X49" i="33"/>
  <c r="X22" i="22"/>
  <c r="W54" i="22" s="1"/>
  <c r="F15" i="30"/>
  <c r="A16" i="30"/>
  <c r="X23" i="33" s="1"/>
  <c r="F14" i="30"/>
  <c r="X21" i="22"/>
  <c r="W53" i="22" s="1"/>
  <c r="V13" i="30"/>
  <c r="P13" i="30"/>
  <c r="M13" i="30"/>
  <c r="S13" i="30"/>
  <c r="G13" i="30"/>
  <c r="J13" i="30"/>
  <c r="M37" i="26"/>
  <c r="N37" i="26" s="1"/>
  <c r="X50" i="22"/>
  <c r="Y51" i="22"/>
  <c r="Z51" i="22"/>
  <c r="AA50" i="22"/>
  <c r="AB50" i="22" s="1"/>
  <c r="K47" i="26"/>
  <c r="N44" i="26"/>
  <c r="Z51" i="33" l="1"/>
  <c r="AA50" i="33"/>
  <c r="AB50" i="33" s="1"/>
  <c r="Y51" i="33"/>
  <c r="X50" i="33"/>
  <c r="X23" i="22"/>
  <c r="A17" i="30"/>
  <c r="F16" i="30"/>
  <c r="P14" i="30"/>
  <c r="V14" i="30"/>
  <c r="G14" i="30"/>
  <c r="M14" i="30"/>
  <c r="S14" i="30"/>
  <c r="J14" i="30"/>
  <c r="V15" i="30"/>
  <c r="P15" i="30"/>
  <c r="M15" i="30"/>
  <c r="G15" i="30"/>
  <c r="S15" i="30"/>
  <c r="J15" i="30"/>
  <c r="M47" i="26"/>
  <c r="Y52" i="22"/>
  <c r="X51" i="22"/>
  <c r="Z52" i="22"/>
  <c r="AA51" i="22"/>
  <c r="AB51" i="22" s="1"/>
  <c r="N47" i="26"/>
  <c r="H48" i="26"/>
  <c r="K48" i="26" s="1"/>
  <c r="Z52" i="33" l="1"/>
  <c r="AA51" i="33"/>
  <c r="AB51" i="33" s="1"/>
  <c r="X24" i="22"/>
  <c r="X24" i="33"/>
  <c r="Y52" i="33"/>
  <c r="X51" i="33"/>
  <c r="P21" i="30"/>
  <c r="F17" i="30"/>
  <c r="A18" i="30"/>
  <c r="M16" i="30"/>
  <c r="J16" i="30"/>
  <c r="G16" i="30"/>
  <c r="S21" i="30"/>
  <c r="V21" i="30"/>
  <c r="D51" i="33" s="1"/>
  <c r="X52" i="22"/>
  <c r="Y53" i="22"/>
  <c r="Z53" i="22"/>
  <c r="AA52" i="22"/>
  <c r="AB52" i="22" s="1"/>
  <c r="M48" i="26"/>
  <c r="H49" i="26"/>
  <c r="X25" i="22" l="1"/>
  <c r="X25" i="33"/>
  <c r="Z53" i="33"/>
  <c r="AA52" i="33"/>
  <c r="AB52" i="33" s="1"/>
  <c r="D52" i="22"/>
  <c r="I43" i="23" s="1"/>
  <c r="I45" i="23" s="1"/>
  <c r="D29" i="32" s="1"/>
  <c r="D52" i="33"/>
  <c r="F20" i="23"/>
  <c r="I20" i="23" s="1"/>
  <c r="D27" i="33"/>
  <c r="X52" i="33"/>
  <c r="Y53" i="33"/>
  <c r="D51" i="22"/>
  <c r="F40" i="23"/>
  <c r="I40" i="23" s="1"/>
  <c r="F17" i="23"/>
  <c r="I17" i="23" s="1"/>
  <c r="D12" i="32" s="1"/>
  <c r="D27" i="22"/>
  <c r="F18" i="30"/>
  <c r="A19" i="30"/>
  <c r="G17" i="30"/>
  <c r="M17" i="30"/>
  <c r="J17" i="30"/>
  <c r="Z54" i="22"/>
  <c r="AA54" i="22" s="1"/>
  <c r="AB54" i="22" s="1"/>
  <c r="AA53" i="22"/>
  <c r="AB53" i="22" s="1"/>
  <c r="Y54" i="22"/>
  <c r="X54" i="22" s="1"/>
  <c r="X53" i="22"/>
  <c r="K49" i="26"/>
  <c r="H50" i="26"/>
  <c r="K50" i="26" s="1"/>
  <c r="M50" i="26" s="1"/>
  <c r="M54" i="26" s="1"/>
  <c r="G57" i="26" s="1"/>
  <c r="Y54" i="33" l="1"/>
  <c r="X54" i="33" s="1"/>
  <c r="X53" i="33"/>
  <c r="Z54" i="33"/>
  <c r="AA54" i="33" s="1"/>
  <c r="AB54" i="33" s="1"/>
  <c r="AA53" i="33"/>
  <c r="AB53" i="33" s="1"/>
  <c r="X26" i="22"/>
  <c r="X26" i="33"/>
  <c r="X27" i="33" s="1"/>
  <c r="I29" i="32"/>
  <c r="G29" i="32"/>
  <c r="G12" i="32"/>
  <c r="I12" i="32"/>
  <c r="L17" i="23"/>
  <c r="N17" i="23"/>
  <c r="L45" i="23"/>
  <c r="N45" i="23"/>
  <c r="F19" i="30"/>
  <c r="X27" i="22"/>
  <c r="G18" i="30"/>
  <c r="M18" i="30"/>
  <c r="J18" i="30"/>
  <c r="N49" i="26"/>
  <c r="K53" i="26"/>
  <c r="N53" i="26" s="1"/>
  <c r="J29" i="32" l="1"/>
  <c r="J12" i="32"/>
  <c r="O45" i="23"/>
  <c r="O17" i="23"/>
  <c r="M19" i="30"/>
  <c r="M21" i="30" s="1"/>
  <c r="J19" i="30"/>
  <c r="J21" i="30" s="1"/>
  <c r="D43" i="33" s="1"/>
  <c r="G19" i="30"/>
  <c r="G21" i="30" s="1"/>
  <c r="F21" i="30"/>
  <c r="N54" i="26"/>
  <c r="G58" i="26" s="1"/>
  <c r="K54" i="26"/>
  <c r="G59" i="26" s="1"/>
  <c r="I57" i="26" s="1"/>
  <c r="F39" i="23" l="1"/>
  <c r="I39" i="23" s="1"/>
  <c r="I41" i="23" s="1"/>
  <c r="D27" i="32" s="1"/>
  <c r="D50" i="33"/>
  <c r="I29" i="23"/>
  <c r="I53" i="23" s="1"/>
  <c r="N53" i="23" s="1"/>
  <c r="D46" i="33"/>
  <c r="D47" i="33" s="1"/>
  <c r="D48" i="33" s="1"/>
  <c r="D49" i="33" s="1"/>
  <c r="D45" i="33"/>
  <c r="D44" i="33"/>
  <c r="D43" i="22"/>
  <c r="I26" i="23" s="1"/>
  <c r="I30" i="23"/>
  <c r="I22" i="23"/>
  <c r="D54" i="22"/>
  <c r="D50" i="22"/>
  <c r="I47" i="23"/>
  <c r="D46" i="22"/>
  <c r="F8" i="23"/>
  <c r="I58" i="26"/>
  <c r="I36" i="23" l="1"/>
  <c r="D24" i="32" s="1"/>
  <c r="D37" i="32"/>
  <c r="I37" i="32" s="1"/>
  <c r="L53" i="23"/>
  <c r="I37" i="23"/>
  <c r="D25" i="32" s="1"/>
  <c r="G25" i="32" s="1"/>
  <c r="I31" i="23"/>
  <c r="D19" i="32" s="1"/>
  <c r="G19" i="32" s="1"/>
  <c r="I35" i="23"/>
  <c r="D23" i="32" s="1"/>
  <c r="I23" i="32" s="1"/>
  <c r="I19" i="32"/>
  <c r="F48" i="23"/>
  <c r="I48" i="23" s="1"/>
  <c r="D31" i="32"/>
  <c r="I27" i="32"/>
  <c r="G27" i="32"/>
  <c r="L41" i="23"/>
  <c r="N41" i="23"/>
  <c r="D47" i="22"/>
  <c r="D48" i="22" s="1"/>
  <c r="D49" i="22" s="1"/>
  <c r="N47" i="23"/>
  <c r="I50" i="23"/>
  <c r="L47" i="23"/>
  <c r="D45" i="22"/>
  <c r="D44" i="22"/>
  <c r="F9" i="23"/>
  <c r="I8" i="23"/>
  <c r="F13" i="23"/>
  <c r="I13" i="23" s="1"/>
  <c r="I15" i="23" s="1"/>
  <c r="D10" i="32" s="1"/>
  <c r="D39" i="22"/>
  <c r="D38" i="22"/>
  <c r="I33" i="23"/>
  <c r="D21" i="32" s="1"/>
  <c r="G37" i="32" l="1"/>
  <c r="J37" i="32" s="1"/>
  <c r="N36" i="23"/>
  <c r="I25" i="32"/>
  <c r="G23" i="32"/>
  <c r="L36" i="23"/>
  <c r="L37" i="23"/>
  <c r="N37" i="23"/>
  <c r="N31" i="23"/>
  <c r="O29" i="23"/>
  <c r="J19" i="32"/>
  <c r="J23" i="32"/>
  <c r="I21" i="32"/>
  <c r="G21" i="32"/>
  <c r="G10" i="32"/>
  <c r="I10" i="32"/>
  <c r="G31" i="32"/>
  <c r="I31" i="32"/>
  <c r="I51" i="23"/>
  <c r="D32" i="32"/>
  <c r="L48" i="23"/>
  <c r="N48" i="23"/>
  <c r="L50" i="23"/>
  <c r="D34" i="32"/>
  <c r="N50" i="23"/>
  <c r="G24" i="32"/>
  <c r="I24" i="32"/>
  <c r="J27" i="32"/>
  <c r="J25" i="32"/>
  <c r="L15" i="23"/>
  <c r="N15" i="23"/>
  <c r="O47" i="23"/>
  <c r="L33" i="23"/>
  <c r="N33" i="23"/>
  <c r="L35" i="23"/>
  <c r="N35" i="23"/>
  <c r="G9" i="23"/>
  <c r="I9" i="23" s="1"/>
  <c r="I10" i="23" s="1"/>
  <c r="D7" i="32" s="1"/>
  <c r="D37" i="22"/>
  <c r="O36" i="23" l="1"/>
  <c r="O37" i="23"/>
  <c r="O31" i="23"/>
  <c r="O48" i="23"/>
  <c r="J31" i="32"/>
  <c r="G7" i="32"/>
  <c r="I7" i="32"/>
  <c r="L51" i="23"/>
  <c r="N51" i="23"/>
  <c r="D35" i="32"/>
  <c r="J24" i="32"/>
  <c r="O50" i="23"/>
  <c r="G34" i="32"/>
  <c r="I34" i="32"/>
  <c r="G32" i="32"/>
  <c r="I32" i="32"/>
  <c r="J21" i="32"/>
  <c r="J10" i="32"/>
  <c r="O15" i="23"/>
  <c r="N10" i="23"/>
  <c r="L10" i="23"/>
  <c r="O41" i="23"/>
  <c r="O33" i="23"/>
  <c r="O35" i="23"/>
  <c r="D40" i="22"/>
  <c r="D41" i="22" s="1"/>
  <c r="D42" i="22" s="1"/>
  <c r="I21" i="23"/>
  <c r="I23" i="23" s="1"/>
  <c r="J34" i="32" l="1"/>
  <c r="J7" i="32"/>
  <c r="O51" i="23"/>
  <c r="J32" i="32"/>
  <c r="D15" i="32"/>
  <c r="G35" i="32"/>
  <c r="I35" i="32"/>
  <c r="O10" i="23"/>
  <c r="I25" i="23"/>
  <c r="J35" i="32" l="1"/>
  <c r="I15" i="32"/>
  <c r="G15" i="32"/>
  <c r="I52" i="23"/>
  <c r="I54" i="23"/>
  <c r="N23" i="23"/>
  <c r="I27" i="23"/>
  <c r="D17" i="32" s="1"/>
  <c r="L54" i="23" l="1"/>
  <c r="N54" i="23"/>
  <c r="D38" i="32"/>
  <c r="I17" i="32"/>
  <c r="G17" i="32"/>
  <c r="J17" i="32" s="1"/>
  <c r="L52" i="23"/>
  <c r="N52" i="23"/>
  <c r="D36" i="32"/>
  <c r="J15" i="32"/>
  <c r="N27" i="23"/>
  <c r="O23" i="23"/>
  <c r="L27" i="23"/>
  <c r="O52" i="23" l="1"/>
  <c r="I38" i="32"/>
  <c r="G38" i="32"/>
  <c r="I36" i="32"/>
  <c r="G36" i="32"/>
  <c r="L55" i="23"/>
  <c r="L61" i="23" s="1"/>
  <c r="O54" i="23"/>
  <c r="O27" i="23"/>
  <c r="N55" i="23"/>
  <c r="I39" i="32" l="1"/>
  <c r="I46" i="32" s="1"/>
  <c r="J38" i="32"/>
  <c r="G39" i="32"/>
  <c r="G45" i="32" s="1"/>
  <c r="J36" i="32"/>
  <c r="O53" i="23"/>
  <c r="O55" i="23" s="1"/>
  <c r="J39" i="32" l="1"/>
  <c r="J45" i="32"/>
  <c r="J46" i="32" s="1"/>
  <c r="G46" i="32"/>
  <c r="C49" i="32" s="1"/>
  <c r="C50" i="32" s="1"/>
  <c r="L57" i="23"/>
  <c r="L56" i="23" l="1"/>
  <c r="O56" i="23" s="1"/>
  <c r="O61" i="23"/>
  <c r="N57" i="23"/>
  <c r="N62" i="23" s="1"/>
  <c r="L62" i="23" l="1"/>
  <c r="H67" i="23" s="1"/>
  <c r="D49" i="29" s="1"/>
  <c r="H65" i="23"/>
  <c r="D50" i="29" s="1"/>
  <c r="O57" i="23"/>
  <c r="O62" i="23" s="1"/>
  <c r="H66" i="23" l="1"/>
  <c r="D51" i="29" s="1"/>
  <c r="J65" i="23"/>
  <c r="C50" i="29" s="1"/>
  <c r="Z13" i="22"/>
  <c r="Z22" i="22"/>
  <c r="Z19" i="22"/>
  <c r="Z17" i="22"/>
  <c r="Z15" i="22"/>
  <c r="Z21" i="22"/>
  <c r="Z25" i="22" s="1"/>
  <c r="AC25" i="22" s="1"/>
  <c r="Z24" i="22"/>
  <c r="Z14" i="22"/>
  <c r="Z18" i="22"/>
  <c r="Z23" i="22"/>
  <c r="Z20" i="22"/>
  <c r="Z16" i="22"/>
  <c r="J66" i="23" l="1"/>
  <c r="C51" i="29" s="1"/>
</calcChain>
</file>

<file path=xl/sharedStrings.xml><?xml version="1.0" encoding="utf-8"?>
<sst xmlns="http://schemas.openxmlformats.org/spreadsheetml/2006/main" count="913" uniqueCount="475">
  <si>
    <t>A/U</t>
  </si>
  <si>
    <t>Qty.</t>
  </si>
  <si>
    <t>Top width</t>
  </si>
  <si>
    <t>Height</t>
  </si>
  <si>
    <t>Area of X-Section</t>
  </si>
  <si>
    <t>Sqm</t>
  </si>
  <si>
    <t>Cum</t>
  </si>
  <si>
    <t>Length</t>
  </si>
  <si>
    <t>M</t>
  </si>
  <si>
    <t>Chainage</t>
  </si>
  <si>
    <t>Av.area of x-Section</t>
  </si>
  <si>
    <t>Quantity of Embankment</t>
  </si>
  <si>
    <t>Qty. of Core Wall</t>
  </si>
  <si>
    <t>Length of Pitching</t>
  </si>
  <si>
    <t>Av. Length of Pitching</t>
  </si>
  <si>
    <t>Area of Pitching</t>
  </si>
  <si>
    <t>Ch</t>
  </si>
  <si>
    <t>Free Board</t>
  </si>
  <si>
    <t>Max. height</t>
  </si>
  <si>
    <t>D/S Slope 1:</t>
  </si>
  <si>
    <t>U/S Slope 1:</t>
  </si>
  <si>
    <t>Top Width</t>
  </si>
  <si>
    <t>Excavation of puddle Trench</t>
  </si>
  <si>
    <t>Mtr.</t>
  </si>
  <si>
    <t>Bottom width</t>
  </si>
  <si>
    <t xml:space="preserve"> Total Depth</t>
  </si>
  <si>
    <t>Depth in Hard Soil</t>
  </si>
  <si>
    <t>Depth in Hard Moorum</t>
  </si>
  <si>
    <t>Length of Puddle Trench</t>
  </si>
  <si>
    <t xml:space="preserve">Total Qty. of E/W </t>
  </si>
  <si>
    <t>Qty of E/W in Hard Soil</t>
  </si>
  <si>
    <t>Qty of E/W in Hard Moourum</t>
  </si>
  <si>
    <t>Puddle filling of Trench</t>
  </si>
  <si>
    <t>Cum/Sec</t>
  </si>
  <si>
    <t>RL</t>
  </si>
  <si>
    <t xml:space="preserve"> Area of Rock Toe</t>
  </si>
  <si>
    <t>Av. Area of Rock Toe</t>
  </si>
  <si>
    <t>Qty. of Rock Toe</t>
  </si>
  <si>
    <t>Av. Width of Stripping</t>
  </si>
  <si>
    <t>Settelment Allowance</t>
  </si>
  <si>
    <t>TBL</t>
  </si>
  <si>
    <t>ha</t>
  </si>
  <si>
    <t>Core Wall Width</t>
  </si>
  <si>
    <t>Cut Off Trench  Depth</t>
  </si>
  <si>
    <t>Particular</t>
  </si>
  <si>
    <t>Area of X-Section in hard Soil</t>
  </si>
  <si>
    <t>Area of X-Section in hard Moorum</t>
  </si>
  <si>
    <t>Constrution of rock toe</t>
  </si>
  <si>
    <t>FRL</t>
  </si>
  <si>
    <t>GL</t>
  </si>
  <si>
    <t>Distances</t>
  </si>
  <si>
    <t>Core Wall</t>
  </si>
  <si>
    <t>COT</t>
  </si>
  <si>
    <t xml:space="preserve">Lining of Exit weir surface area with stone pitching </t>
  </si>
  <si>
    <t>feêh ds cka/k dh tehu dh lQkbZ djuk] leLr ckgjh</t>
  </si>
  <si>
    <t>lkexzh ?kkl&amp;Qwl ?kkl dh tM+s bR;kfn ,oa lkexzh dks 50</t>
  </si>
  <si>
    <t>ehVj nwj rd gVkuk taxy lQkbZ ds dk;Z dks NksMdj</t>
  </si>
  <si>
    <t>foLr`r izkDdyu</t>
  </si>
  <si>
    <t>ehVj</t>
  </si>
  <si>
    <t>pkSM+kbZ</t>
  </si>
  <si>
    <t>dz</t>
  </si>
  <si>
    <t>,l-vks-vkj- vkbVe dzekad</t>
  </si>
  <si>
    <t>dk;Z dk fooj.k</t>
  </si>
  <si>
    <t>la[;k</t>
  </si>
  <si>
    <t>yEckbZ</t>
  </si>
  <si>
    <t>mpkbZ@xgjkbZ</t>
  </si>
  <si>
    <t>ek=k</t>
  </si>
  <si>
    <t>bdkbZ</t>
  </si>
  <si>
    <t>dqy jkf'k</t>
  </si>
  <si>
    <t xml:space="preserve">etnwjh nj </t>
  </si>
  <si>
    <t>etnwjh jkf'k</t>
  </si>
  <si>
    <t>dk;Z LFky dh lQkbZ ]?kkl dkVuk]mls bdV~Bk djds &lt;sj cukuk vkSj ifjlj ls gVkuk</t>
  </si>
  <si>
    <t>oxZeh-</t>
  </si>
  <si>
    <t>nkx csy yxkuk</t>
  </si>
  <si>
    <t>-</t>
  </si>
  <si>
    <t>jeh</t>
  </si>
  <si>
    <t>?kueh</t>
  </si>
  <si>
    <t xml:space="preserve">feV~Vh dk dke z¼xgjkbZ esa 30ls-eh-]pkSM+kbZ esa 1-50 eh- vkSj {ks=Qy esa 10-00oxZeh-ls vf/kd½ {ks=ksa dh [kqnkbZ e]sa 50 eh- dh nwjh rFkk     1-50 eh- rd mapkbZ esa [kksssnh gqbZ feV~Vh ds fuiVku vkSj Qsadh gqbZ feV~Vh lery djus rFkk lQkbZ ls njslh djus ds lfgr </t>
  </si>
  <si>
    <t>l?ku ;k dBksj feV~Vh esa@dBksj eq#e esa</t>
  </si>
  <si>
    <t>feêh ds cka/k dh ckgjh vkSj Hkhrjh &lt;yku dks dkVdj :ikadu vuqlkj rS;kj djuk] njslh djuk ,oa [kqnh gqbZ feêh dks cka/k ds Åij fcNkuk</t>
  </si>
  <si>
    <t>मिट्टी के बांध की नीव पडल टेंच की भराई अच्छी प्रकार की मिट्टी से मिट्टी को 50 मीटर से ढोना पानी मिलाना कुचलना एवं डालना इत्यादि</t>
  </si>
  <si>
    <t>?ku eh</t>
  </si>
  <si>
    <t>;ksx</t>
  </si>
  <si>
    <t>dk;ZLFky ij dk;Z dh rFkk etnwjksa dh fuxjkuh gsrq  esV dh etnwjh ds fy;s izko/kku</t>
  </si>
  <si>
    <t>ek fn</t>
  </si>
  <si>
    <t>dk;Z LFky ij dk;Zjr~ etnwjksa dks ikuh fiykus gsrq etnwj dh O;oLFkk djuk</t>
  </si>
  <si>
    <t>dk;Z LFky ij Nk;k] cPpksa ds fy;s &gt;wyk ,oa izkFkfed mipkj ds fy;s izko/kkuA</t>
  </si>
  <si>
    <t>,d eq'r</t>
  </si>
  <si>
    <t>lwpuk Qyd rFkk QksVksxzk¶l ds fy;sA</t>
  </si>
  <si>
    <t>dqy ;ksx</t>
  </si>
  <si>
    <t>vuqikr</t>
  </si>
  <si>
    <t>jkf'k</t>
  </si>
  <si>
    <t>izfr'kr</t>
  </si>
  <si>
    <t>etnwjh</t>
  </si>
  <si>
    <t>%</t>
  </si>
  <si>
    <t>lkexzh</t>
  </si>
  <si>
    <t>sqm</t>
  </si>
  <si>
    <t>Width of Stripping</t>
  </si>
  <si>
    <t>0.5m</t>
  </si>
  <si>
    <t>side wall</t>
  </si>
  <si>
    <t>1.0m</t>
  </si>
  <si>
    <t>Sr No.</t>
  </si>
  <si>
    <t>Item No.</t>
  </si>
  <si>
    <t>Particulars</t>
  </si>
  <si>
    <t>Nos</t>
  </si>
  <si>
    <t>L</t>
  </si>
  <si>
    <t>W</t>
  </si>
  <si>
    <t>D/H</t>
  </si>
  <si>
    <t>Volume</t>
  </si>
  <si>
    <t>A</t>
  </si>
  <si>
    <t>Excavation for foundation</t>
  </si>
  <si>
    <t>For Apron D/S</t>
  </si>
  <si>
    <t>Total Qty. of E/W</t>
  </si>
  <si>
    <t>Back filling in foundation….with excavtaed soil</t>
  </si>
  <si>
    <t>Total excvn - Qty of Masonary in foundation</t>
  </si>
  <si>
    <t>PCC in foundation in 1:3:6, C/C with 40mm metal</t>
  </si>
  <si>
    <t>Total Qty. of PCC 1:3:6</t>
  </si>
  <si>
    <t>PCC in foundation in 1:2:4, C/C with 40mm metal</t>
  </si>
  <si>
    <t>PCC1:2:4</t>
  </si>
  <si>
    <t>12 mm thick Plastering in CM 1:4…</t>
  </si>
  <si>
    <t>Over apron D/S</t>
  </si>
  <si>
    <t xml:space="preserve">For head wall both side &amp; top </t>
  </si>
  <si>
    <t>for wing wall faces</t>
  </si>
  <si>
    <t>Total area</t>
  </si>
  <si>
    <t>Farm work for all other structures…… for coping…</t>
  </si>
  <si>
    <t>Total Farm work</t>
  </si>
  <si>
    <t>For wing wall L/S &amp; R/S</t>
  </si>
  <si>
    <t>Total Qty. of PCC</t>
  </si>
  <si>
    <t>Over top surface of walls</t>
  </si>
  <si>
    <t>Head wall top</t>
  </si>
  <si>
    <t>for sides of wing wall</t>
  </si>
  <si>
    <t>dk;Z dk uke &amp;  psd डेम fuekZ.k                                      yEckbZ</t>
  </si>
  <si>
    <t xml:space="preserve">xzke &amp; </t>
  </si>
  <si>
    <t xml:space="preserve">               xzke iapk;r &amp;</t>
  </si>
  <si>
    <t xml:space="preserve">tuin iapk;r &amp; </t>
  </si>
  <si>
    <t xml:space="preserve">            ftyk&amp; ¼N-x-½</t>
  </si>
  <si>
    <t>dqy nj</t>
  </si>
  <si>
    <t>lkexzh jkf'k     ¼10&amp;12 ½</t>
  </si>
  <si>
    <t xml:space="preserve">feV~Vh dk dke ¼xgjkbZ esa 30ls-eh-]pkSM+kbZ esa 1-50 eh- vkSj {ks=Qy esa 10-00oxZeh-ls vf/kd½ {ks=ksa dh [kqnkbZ e]sa 50 eh- dh nwjh rFkk 1-50 eh- rd mapkbZ esa [kksssnh gqbZ feV~Vh ds fuiVku vkSj Qsadh gqbZ feV~Vh lery djus rFkk lQkbZ ls njslh djus ds lfgr </t>
  </si>
  <si>
    <r>
      <t>301</t>
    </r>
    <r>
      <rPr>
        <sz val="12"/>
        <rFont val="Kruti Dev 010"/>
      </rPr>
      <t>¼[k½</t>
    </r>
  </si>
  <si>
    <t>Of which, soft soil/hard soil…. (@70%)</t>
  </si>
  <si>
    <r>
      <t xml:space="preserve">302 </t>
    </r>
    <r>
      <rPr>
        <sz val="12"/>
        <rFont val="Kruti Dev 010"/>
      </rPr>
      <t>¼d½</t>
    </r>
  </si>
  <si>
    <t>Of which, SR/ hard conglonmerate/ Disintgrated rocks…….. (@30%)</t>
  </si>
  <si>
    <t xml:space="preserve">feV~Vh dk dke] eksVh [kqnkbZ esa] [kksnh feV~Vh funsZ'kkuqlkj xM~ Mksa esa Hkjuk ;k ca/k HkjkbZ djuk vkSj Åijh lrg dks lery djds lQkbZ ls njslh djuk A </t>
  </si>
  <si>
    <r>
      <t xml:space="preserve">413 </t>
    </r>
    <r>
      <rPr>
        <sz val="12"/>
        <rFont val="Kruti Dev 010"/>
      </rPr>
      <t>¼[k½</t>
    </r>
  </si>
  <si>
    <t>uhoksa vkSj dqlhZ esa Q'kksZ ds uhps lhesaV&amp; dkaØhV dh O;oLFkk djuk vkSj Mkyuk] iRFkj ds 40feeh ukeh; uki ds vuqikfrr feykosa esa rjkbZ lfgr lEiw.kZ fdUrq &lt;wyk&amp;cUnh dh ykxr NksMdj ¼[k½ lhesaV dkaØhV 1%3%6¼1lhesaV] 3 jsr] 6 fxV~Vh½</t>
  </si>
  <si>
    <t>425¼x½  426</t>
  </si>
  <si>
    <t>ljnyksa] LraHkksa] [kaHkksa] nhokjksa Nrksa vkfn esa fof'k"V dksfV dh izcfyr lhesaV&amp;dkadzhV miyC/k djkuk ,oa mls Bhd izdkj ls fcNkukA &lt;wyk] r[rkcanh lEiwfrZ vkSj izcye bLikr ds vfrfjDrA rjkbZ ,oa lQkbZ lfgrA dh ykxr lhesaV dkaØhV 1%2%4¼1lhesaV] 2jsr] 4iRFkj dk 20feeh ukeh; uki dk½</t>
  </si>
  <si>
    <t xml:space="preserve">12 feeh eksVk lhesaV iyLrj nhokj dh [kqjnqjh lrg ij
</t>
  </si>
  <si>
    <t xml:space="preserve">¼[k½ </t>
  </si>
  <si>
    <t>lhesaV elkyk 1%4 ¼1 lhesaV] 4 jsr½esa</t>
  </si>
  <si>
    <t>430- 431</t>
  </si>
  <si>
    <t>uhoksa vkSj dqlhZ esa çcfyr lhaesaV dkaØhV ,oa lknh lhaesaV dkaØhV dk;ksZ ds fy;s &lt;qyk vkSj r[rkcanh] Fkkeksa] Vsdksa vkfn rFkk &lt;wyk [kksyus lfgr</t>
  </si>
  <si>
    <t xml:space="preserve">dqy ;ksx </t>
  </si>
  <si>
    <r>
      <t xml:space="preserve">भारत सरकार द्वारा दिनांक </t>
    </r>
    <r>
      <rPr>
        <sz val="10"/>
        <color indexed="10"/>
        <rFont val="Times New Roman"/>
        <family val="1"/>
      </rPr>
      <t xml:space="preserve">1 jun 2015 </t>
    </r>
    <r>
      <rPr>
        <sz val="10"/>
        <rFont val="Kruti Dev 010"/>
      </rPr>
      <t xml:space="preserve"> से मजदूरी दर में बृद्धि किये जाने के फलस्वरूप अतिरिक्त मजदूरी  की राशि  </t>
    </r>
    <r>
      <rPr>
        <sz val="10"/>
        <rFont val="Times New Roman"/>
        <family val="1"/>
      </rPr>
      <t xml:space="preserve"> </t>
    </r>
    <r>
      <rPr>
        <sz val="10"/>
        <color indexed="10"/>
        <rFont val="Times New Roman"/>
        <family val="1"/>
      </rPr>
      <t>(172-159)</t>
    </r>
    <r>
      <rPr>
        <sz val="10"/>
        <rFont val="Times New Roman"/>
        <family val="1"/>
      </rPr>
      <t xml:space="preserve">  * </t>
    </r>
    <r>
      <rPr>
        <sz val="10"/>
        <rFont val="Kruti Dev 010"/>
      </rPr>
      <t xml:space="preserve">dqy ek-fn </t>
    </r>
  </si>
  <si>
    <r>
      <t xml:space="preserve">vkdfLed O;; 5 </t>
    </r>
    <r>
      <rPr>
        <sz val="12"/>
        <rFont val="Times New Roman"/>
        <family val="1"/>
      </rPr>
      <t xml:space="preserve">% </t>
    </r>
  </si>
  <si>
    <t>For   waste weir main wall</t>
  </si>
  <si>
    <t>For foundation of waste  weir main wall</t>
  </si>
  <si>
    <t>For foundation of  waste  weir main wall</t>
  </si>
  <si>
    <t>For   waste  weir main wall</t>
  </si>
  <si>
    <t>Cost of waste weir</t>
  </si>
  <si>
    <t>Plan waste weir</t>
  </si>
  <si>
    <t>L-sec waste weir</t>
  </si>
  <si>
    <t>X-sec waste weir</t>
  </si>
  <si>
    <t>Surplus weir Width</t>
  </si>
  <si>
    <t>Excavation of Surplus weir</t>
  </si>
  <si>
    <t>For Apron D/S upto nala bed</t>
  </si>
  <si>
    <t>Apron 20 cm thick &amp; 11.09 M wide</t>
  </si>
  <si>
    <t>D/S Apron 20cm thick</t>
  </si>
  <si>
    <t xml:space="preserve">Area of Stripping </t>
  </si>
  <si>
    <t>Value</t>
  </si>
  <si>
    <t>Type of Soil for construction</t>
  </si>
  <si>
    <t>hac</t>
  </si>
  <si>
    <t>Clay+ sandy loam</t>
  </si>
  <si>
    <t>Free board (as per site condition&gt; 1Mtr)</t>
  </si>
  <si>
    <t>Length of Surplus weir channel</t>
  </si>
  <si>
    <t>HFL</t>
  </si>
  <si>
    <t>Width of Grass turfing</t>
  </si>
  <si>
    <t>Av. Width of Grass turfing</t>
  </si>
  <si>
    <t>Area of Grass turfing</t>
  </si>
  <si>
    <t>Grass turfing on downstream side slope</t>
  </si>
  <si>
    <t xml:space="preserve">Detailed BOQ of waste weir Proposed on </t>
  </si>
  <si>
    <t>waste weir:Design &amp; plan</t>
  </si>
  <si>
    <t>Reading interval of nala X-Sec.</t>
  </si>
  <si>
    <t>Total width of Nala at dam site</t>
  </si>
  <si>
    <t>CH</t>
  </si>
  <si>
    <t>U/S</t>
  </si>
  <si>
    <t>D/S</t>
  </si>
  <si>
    <t>TW</t>
  </si>
  <si>
    <t>In Hard soil</t>
  </si>
  <si>
    <t>Depth of hard soil</t>
  </si>
  <si>
    <t>Settlement allowance (10-15%)</t>
  </si>
  <si>
    <t>Stripping 15 cm Thick For Work site</t>
  </si>
  <si>
    <t>all walls in PCC 1:2:4</t>
  </si>
  <si>
    <t>Construction of waste weir could be done with masonry or PCC for catchments above 30 Hac.</t>
  </si>
  <si>
    <t>Depth of hard moorum</t>
  </si>
  <si>
    <t xml:space="preserve"> nj </t>
  </si>
  <si>
    <t>base PCC 1:3:6 (apron &amp; wall foundn)</t>
  </si>
  <si>
    <t>stonepitching</t>
  </si>
  <si>
    <t>Nala bund</t>
  </si>
  <si>
    <t>q</t>
  </si>
  <si>
    <t xml:space="preserve">Data in highlighted rows to be collected from field &amp; entered </t>
  </si>
  <si>
    <t>For base of dam</t>
  </si>
  <si>
    <t>for borrow pits</t>
  </si>
  <si>
    <t>50 % of bund quantity</t>
  </si>
  <si>
    <t>feêh dk dke] eksVh [kqnkbZ esa vkSj [kksnh gqbZ feêh dh 20lseh ls vuf/kd eksVh ijrksa esa ca/k HkjkbZ] &lt;sys rqM+kbZ] ikuh flpkbZ 1@2 Vu jksyj ;k ydM+h ;k yksgs ds nqjeqBksa ls gj ,d ijr dh] vkSj de ls de 8Vu okys 'kfDr pkfyr jksyj ls izR;sd rhljh vkSj lcls Åijh ijrksa dh dqVkbZ] vkSj njslh djds tehu ds xM~Ms Hkjuk] 50 eh rd dh ÅapkbZ esa &lt;qykbZ lfgrAlHkh çdkj ds feVVh ds fy,</t>
  </si>
  <si>
    <t>Av. Area of Core Wall</t>
  </si>
  <si>
    <t>m</t>
  </si>
  <si>
    <t>m/m</t>
  </si>
  <si>
    <t>mm/hr</t>
  </si>
  <si>
    <t xml:space="preserve">Stream / Nala - </t>
  </si>
  <si>
    <t>Catchment area (A)</t>
  </si>
  <si>
    <t>The average land slope</t>
  </si>
  <si>
    <t>Runoff Coefficient (C2) for cultivated land (Table 2.2)</t>
  </si>
  <si>
    <t>constant</t>
  </si>
  <si>
    <t>For Purkela area 1 hour rainfall intensity for 25 years frequency obtained from 'SAMARTHYA' Figure 3.12</t>
  </si>
  <si>
    <t>Rainfall Intensity (I) for duration equal to Time of concentration Obtained from 'SAMARTHYA' Figure 3.13</t>
  </si>
  <si>
    <t>Catchment area  (A)</t>
  </si>
  <si>
    <r>
      <t>Grade of Drainage area (S)=H</t>
    </r>
    <r>
      <rPr>
        <sz val="8"/>
        <rFont val="Arial"/>
        <family val="2"/>
      </rPr>
      <t>c</t>
    </r>
    <r>
      <rPr>
        <sz val="10"/>
        <rFont val="Arial"/>
        <family val="2"/>
      </rPr>
      <t>/ L</t>
    </r>
  </si>
  <si>
    <t>Basics of Work:</t>
  </si>
  <si>
    <t>Field Visit and Planning :</t>
  </si>
  <si>
    <t xml:space="preserve">The water sources nearby have witnessed declining groundwater level which need augmentation. Hence, the work is required to replenish the groundwater of nearby shallow aquifers. </t>
  </si>
  <si>
    <t xml:space="preserve">The subsurface water flow will have longer duration, the ponds and wells nearby will have base flow and store water for longer time and the insitu moisture in nearby areas will increase due to which the crops will require less water for irrigation. </t>
  </si>
  <si>
    <t>Surveying :</t>
  </si>
  <si>
    <t>Design Parameters:</t>
  </si>
  <si>
    <t xml:space="preserve">The design considerations will include details of catchment (actual area), rainfall data, vegetative cover details, runoff generation. Plotting of  L section and Cross section for the Bund Profile. Planning and design of percolation tank capacity, free board, full tank level, head of flowing water over waste weir wall, core wall section, cut off trench, rock toe section, </t>
  </si>
  <si>
    <t>1.Bund height (h)</t>
  </si>
  <si>
    <t>Assume that to capture the 40% runoff, height of earthen bund required is 5 m</t>
  </si>
  <si>
    <t>2. Free Board</t>
  </si>
  <si>
    <t>3.Bund Top width (W)</t>
  </si>
  <si>
    <t>Detail Design</t>
  </si>
  <si>
    <t>Drawing (Details to be covered in standard drawings)</t>
  </si>
  <si>
    <t xml:space="preserve">Details to be covered in drawing </t>
  </si>
  <si>
    <t>Plan</t>
  </si>
  <si>
    <t>Section</t>
  </si>
  <si>
    <t>Elevation</t>
  </si>
  <si>
    <t>Detail Estimate</t>
  </si>
  <si>
    <t>Material Statement</t>
  </si>
  <si>
    <t>Tools and Plant Charges</t>
  </si>
  <si>
    <t>Skilled &amp; Semi-Skilled Labour Charges</t>
  </si>
  <si>
    <t>Lead Statement</t>
  </si>
  <si>
    <t>Labour Statement</t>
  </si>
  <si>
    <t>Abstract Estimate</t>
  </si>
  <si>
    <t>Anslysis of Rates</t>
  </si>
  <si>
    <t>Construction material</t>
  </si>
  <si>
    <t>Measurements  of Height of Bund for  Nala cross section</t>
  </si>
  <si>
    <t>Open Sandy Loam Area in foest land (A1)</t>
  </si>
  <si>
    <t>Runoff Coefficient for forest land (Table 2.2) (C1)</t>
  </si>
  <si>
    <t>Clay / Silt Loam in cultivated land (A2)</t>
  </si>
  <si>
    <t>open sandy Loam  in pasture land (A3)</t>
  </si>
  <si>
    <t>Runoff Coefficient  for pasture lannd (Table 2.2) (C3)</t>
  </si>
  <si>
    <t>minute</t>
  </si>
  <si>
    <t>Hard soil available for embankment(approx.)</t>
  </si>
  <si>
    <t>Output Data:</t>
  </si>
  <si>
    <t>DESIGN of Surplus weir from 'SAMARTHYA':</t>
  </si>
  <si>
    <t>Earthen Bund</t>
  </si>
  <si>
    <t>Stone Pitching on u/s</t>
  </si>
  <si>
    <t>Grass Turfing</t>
  </si>
  <si>
    <t>Height of surplus weir above crest</t>
  </si>
  <si>
    <r>
      <t>difference in elevation between the highest catchment point and outlet points (H</t>
    </r>
    <r>
      <rPr>
        <sz val="8"/>
        <rFont val="Arial"/>
        <family val="2"/>
      </rPr>
      <t>c</t>
    </r>
    <r>
      <rPr>
        <sz val="10"/>
        <rFont val="Arial"/>
        <family val="2"/>
      </rPr>
      <t>)</t>
    </r>
  </si>
  <si>
    <t>1hr Rainfall Intensity for 25 yrs frequency for Purkela area from SAMARTHYA fig 3.12</t>
  </si>
  <si>
    <t xml:space="preserve">Village - </t>
  </si>
  <si>
    <t>Purkela</t>
  </si>
  <si>
    <t xml:space="preserve">Rock Toe </t>
  </si>
  <si>
    <t>Total cost in Rs.</t>
  </si>
  <si>
    <t>Labour cost in Rs.</t>
  </si>
  <si>
    <t>Material cost in Rs.</t>
  </si>
  <si>
    <t>Summary of cost</t>
  </si>
  <si>
    <t>The soil used on an earthen dam is usually compacted to a certain degree. Hence a certain allowance has to be made for natural process of compaction due to the weight of dam. 10 % settlement allowance is assumed.</t>
  </si>
  <si>
    <t>Quantity Estimate Sheet</t>
  </si>
  <si>
    <r>
      <t>Area of Core Wall</t>
    </r>
    <r>
      <rPr>
        <sz val="8"/>
        <rFont val="Arial"/>
        <family val="2"/>
      </rPr>
      <t xml:space="preserve"> </t>
    </r>
  </si>
  <si>
    <t>Stone pitching 22 cm thick on U/s face of Embankment</t>
  </si>
  <si>
    <t>vfrfjä Hkqxrku 50ehVj ls T;knk &lt;qykbZ ds fy;s] çR;sd vfrfjDr 50ehVj &lt;qykbZ ds fy;s] 200 ehVj rd</t>
  </si>
  <si>
    <t>Total</t>
  </si>
  <si>
    <t>Net qty of earth work</t>
  </si>
  <si>
    <t>Runoff Coefficient as per slope,  LULC &amp; Soil texture</t>
  </si>
  <si>
    <t>NOMOGRAMS FOR ESTIMATION OF PEAK RUNOFF</t>
  </si>
  <si>
    <t>Maximum Length of run in Catchment of Dam (L)</t>
  </si>
  <si>
    <t>Rock toe line</t>
  </si>
  <si>
    <t xml:space="preserve">width </t>
  </si>
  <si>
    <t>Rock toe width</t>
  </si>
  <si>
    <t>22 lseh eksVs xzkmVsM iRFkj dh lw[kh fifpax djuk ftlesa çR;sd iRFkj 22 lseh xgjk ,oa vk;ru 0-014 ?kuehVj ls de u gks</t>
  </si>
  <si>
    <t>79.01.01</t>
  </si>
  <si>
    <t>79.03.17 (a)</t>
  </si>
  <si>
    <t>79.23.02 (b)</t>
  </si>
  <si>
    <t>79.03.01 (b)</t>
  </si>
  <si>
    <t>79.23.03 (b)</t>
  </si>
  <si>
    <t>79.23.05</t>
  </si>
  <si>
    <t>79.03.18</t>
  </si>
  <si>
    <t>79.03.22 (b)</t>
  </si>
  <si>
    <t>79.03.03 (b)</t>
  </si>
  <si>
    <t>79.12.72</t>
  </si>
  <si>
    <t>79.12.77</t>
  </si>
  <si>
    <r>
      <t xml:space="preserve"> {(H/ 4S</t>
    </r>
    <r>
      <rPr>
        <vertAlign val="subscript"/>
        <sz val="10"/>
        <rFont val="Arial"/>
        <family val="2"/>
      </rPr>
      <t>2</t>
    </r>
    <r>
      <rPr>
        <sz val="10"/>
        <rFont val="Arial"/>
        <family val="2"/>
      </rPr>
      <t>) + (H x S</t>
    </r>
    <r>
      <rPr>
        <vertAlign val="subscript"/>
        <sz val="10"/>
        <rFont val="Arial"/>
        <family val="2"/>
      </rPr>
      <t>2</t>
    </r>
    <r>
      <rPr>
        <sz val="10"/>
        <rFont val="Arial"/>
        <family val="2"/>
      </rPr>
      <t xml:space="preserve">/4)} </t>
    </r>
  </si>
  <si>
    <t>To prevent the water from leakage, we dig a cut off trench (puddle trench) and filled it with puddled clay. Dimensios are taken as depth 25% of total bund height.Taken here 0.25*5=1.25 say 1.5m. Top width 3m. Bottom width 1m .</t>
  </si>
  <si>
    <t>feêh ds cka/k vkSlr xgjkbZ 15 lseh ,oa &lt;ky 1%12 gks ,oa lkexzh dh tehu es lh&lt;h uqek dVkbZ djuk ftldh 50 ehVj nwj rd gVkuk ,oa njslh djuk</t>
  </si>
  <si>
    <t xml:space="preserve">Earthwork quantity  as per Quantity estimate sheet </t>
  </si>
  <si>
    <t>Rock toe qty as per Qty estimate sheet</t>
  </si>
  <si>
    <t xml:space="preserve">lwpuk Qyd </t>
  </si>
  <si>
    <t xml:space="preserve"> lkexh ifjogu gsrq 2-5 eh- pkSMh ,izksp jksM cukus ,d eq'r izko/kku</t>
  </si>
  <si>
    <t>chota nala</t>
  </si>
  <si>
    <t>4.U/S and D/S bund slope</t>
  </si>
  <si>
    <t>5.Settlement Allowance</t>
  </si>
  <si>
    <t>7.Core Wall</t>
  </si>
  <si>
    <t>6. Cut-off Trench (Puddle Trench)</t>
  </si>
  <si>
    <t>Depth of puddle trench</t>
  </si>
  <si>
    <t>Bottom width of puddle trench</t>
  </si>
  <si>
    <t>Hor</t>
  </si>
  <si>
    <t>Designed side slope U/S (H:V) 3:1</t>
  </si>
  <si>
    <t>Designed side slope D/S (H:V) 2:1</t>
  </si>
  <si>
    <t>Depth of flow over Surplus weir( taken) 'h'</t>
  </si>
  <si>
    <t>Depth of flow over weir (max 70 cm) 'h'</t>
  </si>
  <si>
    <t>Transport of Clay 3.0 km Lead</t>
  </si>
  <si>
    <t xml:space="preserve">Earthwork in Embankment  i/c Corewall </t>
  </si>
  <si>
    <t xml:space="preserve">Earthwork in embankment excluding Corewall  </t>
  </si>
  <si>
    <t>Transportation of water 2 km Lead rate as per sor</t>
  </si>
  <si>
    <t>E/W in Embankment in Hard Soil in Cum @ 70%</t>
  </si>
  <si>
    <t>E/W in Embankment in Hard Moorum in Cum @ 30%</t>
  </si>
  <si>
    <t>Attached sheet -5</t>
  </si>
  <si>
    <t>Special Details GIS Map</t>
  </si>
  <si>
    <t>Attached sheet-6</t>
  </si>
  <si>
    <t>Attached in sheet-7</t>
  </si>
  <si>
    <t>Attached in sheet-8</t>
  </si>
  <si>
    <t>deduct qty of core wall (qty from sheet)</t>
  </si>
  <si>
    <t>in Puddle trench</t>
  </si>
  <si>
    <t>in Core wall</t>
  </si>
  <si>
    <t>detailed estimate</t>
  </si>
  <si>
    <t xml:space="preserve">Technical Assistant
MGNREGA
Block- Lundra </t>
  </si>
  <si>
    <t>Assistant Engneer                            Excutive Engneer
RES Sub Division- Lundra                  RES Division- Ambikapur</t>
  </si>
  <si>
    <t xml:space="preserve"> Executive Engineer
RES Division- Ambikapur
</t>
  </si>
  <si>
    <t xml:space="preserve">Assistant Engineer
RES Sub Division- Lundra </t>
  </si>
  <si>
    <t>Mini Percolation tank/'Earthen dam:Design data &amp; Quantities</t>
  </si>
  <si>
    <t>Input data for the MPT/ earthen dam</t>
  </si>
  <si>
    <t xml:space="preserve">dk;Z dk uke %&amp;  feuh ijdksys'ku VSad fuekZ.k dk foLr`r ekud izkDdyu </t>
  </si>
  <si>
    <t xml:space="preserve">Scraping the location to 20 cm depth </t>
  </si>
  <si>
    <t xml:space="preserve">for bund </t>
  </si>
  <si>
    <t xml:space="preserve">for waste weir channel </t>
  </si>
  <si>
    <t xml:space="preserve">d/s slope area qty as per turfing  </t>
  </si>
  <si>
    <t xml:space="preserve">u/s slope area qty as per pitching </t>
  </si>
  <si>
    <t>Stone pitching 22cm thick over 0.15m th. stone falls</t>
  </si>
  <si>
    <t xml:space="preserve"> Toe wall  at bottom of stone pitching 0.6 x0.6m</t>
  </si>
  <si>
    <t xml:space="preserve">Earthen Dam:Quantities </t>
  </si>
  <si>
    <t>Earthwork in Construction of Core wall from qty sheet</t>
  </si>
  <si>
    <t>Waste weir ( Qty from summary sheet)</t>
  </si>
  <si>
    <t>Puddle trench (Qty from summary sheet)</t>
  </si>
  <si>
    <t>1901+1902+1904(4),1901b</t>
  </si>
  <si>
    <t>79.19.01a</t>
  </si>
  <si>
    <t>79.19.01b</t>
  </si>
  <si>
    <r>
      <t>79.19.04(4</t>
    </r>
    <r>
      <rPr>
        <u/>
        <sz val="10"/>
        <rFont val="Times New Roman"/>
        <family val="1"/>
      </rPr>
      <t>)</t>
    </r>
  </si>
  <si>
    <t>79.19.04(3)</t>
  </si>
  <si>
    <t>xzke iapk;r &amp; iqjdsyk</t>
  </si>
  <si>
    <t>xzke&amp; iqjdsyk</t>
  </si>
  <si>
    <t xml:space="preserve">fodkl [kaM&amp;  </t>
  </si>
  <si>
    <t>yq.Mªk</t>
  </si>
  <si>
    <t xml:space="preserve">ftyk &amp; </t>
  </si>
  <si>
    <t>ljxqtk</t>
  </si>
  <si>
    <t>assume 30 % of bund quantity lift 1.5 to 3 m</t>
  </si>
  <si>
    <t>20 % of bund quantity lift 3.0 to 4.5 m</t>
  </si>
  <si>
    <t>5 % of bund quantity lift 4.5 to 5 m</t>
  </si>
  <si>
    <t>Toe wall with dry stone  to support the stone pitching at bottom in u/s side</t>
  </si>
  <si>
    <t xml:space="preserve">dRry ¼iRFkj dh fpIl½ &lt;qykbZ 3 fdeh- yhM </t>
  </si>
  <si>
    <t>79.19.04(2)</t>
  </si>
  <si>
    <t>79.23.10 (b)</t>
  </si>
  <si>
    <t xml:space="preserve">feêh ds cka/k es iRFkjks ds fdukjs dk fuekZ.k iRFkjksa dks fcNkus ,oa gkFk ls tekus ?kM+kbZ djus ,oa lrg rS;kj djus ds lkFk¼[k½ [knku ls fudkys x;s cksYMj] dkys cslkYV] ;k xzsukbZV ds vykok  </t>
  </si>
  <si>
    <t xml:space="preserve"> </t>
  </si>
  <si>
    <t xml:space="preserve">dSpesaV {ks=Qy¼gsDVs;j½ % </t>
  </si>
  <si>
    <r>
      <t>dSpesaV Lyksi¼</t>
    </r>
    <r>
      <rPr>
        <sz val="10"/>
        <rFont val="Arial Narrow"/>
        <family val="2"/>
      </rPr>
      <t>%):</t>
    </r>
  </si>
  <si>
    <t>feV~Vh ds caM dh mijh yackbZ ¼eh--a½ %</t>
  </si>
  <si>
    <t>mijh pkSM+kbZ ¼eh-½ %</t>
  </si>
  <si>
    <t>ukyk Lrj ij uhpyh pkSM+kbZ%</t>
  </si>
  <si>
    <t xml:space="preserve">etnwjh nj ¼,lvksvkj-½ </t>
  </si>
  <si>
    <r>
      <t xml:space="preserve">bdgjs QkoM+s dh ykbu </t>
    </r>
    <r>
      <rPr>
        <sz val="11"/>
        <rFont val="Times New Roman"/>
        <family val="1"/>
      </rPr>
      <t>(</t>
    </r>
    <r>
      <rPr>
        <sz val="11"/>
        <rFont val="Kruti Dev 010"/>
      </rPr>
      <t>de ls de 75 ls-eh- xgjh</t>
    </r>
    <r>
      <rPr>
        <sz val="11"/>
        <rFont val="Times New Roman"/>
        <family val="1"/>
      </rPr>
      <t xml:space="preserve"> )</t>
    </r>
  </si>
  <si>
    <r>
      <t>vfrfjä Hkqxrku 1-5 eh- ;k mlds Hkkx ds fy;s mBku gsrqA</t>
    </r>
    <r>
      <rPr>
        <sz val="11"/>
        <rFont val="Calibri"/>
        <family val="2"/>
      </rPr>
      <t xml:space="preserve">      in hard soil </t>
    </r>
  </si>
  <si>
    <t>fifpax ds uhps iRFkj ds dÙkyksa dh O;oLFkk djuk</t>
  </si>
  <si>
    <r>
      <t xml:space="preserve"> &lt;qykbZ dk dk;Z] [knku ls dk;ZLFky rd nwjh@yhM </t>
    </r>
    <r>
      <rPr>
        <sz val="9"/>
        <rFont val="Times New Roman"/>
        <family val="1"/>
      </rPr>
      <t>3.00</t>
    </r>
    <r>
      <rPr>
        <sz val="11"/>
        <rFont val="Kruti Dev 010"/>
      </rPr>
      <t xml:space="preserve"> fdeh-A </t>
    </r>
  </si>
  <si>
    <r>
      <t xml:space="preserve">dk;Z LFky ij dk;Zjr~ etnwjksa dks ikuh fiykus gsrq etnwj dh O;oLFkk djuk </t>
    </r>
    <r>
      <rPr>
        <sz val="11"/>
        <rFont val="Iskoola Pota"/>
        <family val="2"/>
      </rPr>
      <t xml:space="preserve">@ 1 man day /50 labours </t>
    </r>
  </si>
  <si>
    <t>Pipe level, A frame, Auto Level</t>
  </si>
  <si>
    <t>mapkbZ@xgjkbZ</t>
  </si>
  <si>
    <t>u/s side pitching 354.52+waste weir pitching (30*(5.89+1+1)= 236.63) = 591.15</t>
  </si>
  <si>
    <r>
      <rPr>
        <sz val="12"/>
        <rFont val="Kruti Dev 010"/>
      </rPr>
      <t xml:space="preserve">&lt;qykbZ dk;Z&amp;22 </t>
    </r>
    <r>
      <rPr>
        <sz val="8"/>
        <rFont val="Kruti Dev 010"/>
      </rPr>
      <t>सेमी मोटे पत्थर</t>
    </r>
    <r>
      <rPr>
        <sz val="12"/>
        <rFont val="Kruti Dev 010"/>
      </rPr>
      <t xml:space="preserve"> fifpax gsrq</t>
    </r>
    <r>
      <rPr>
        <sz val="12"/>
        <rFont val="Iskoola Pota"/>
        <family val="2"/>
      </rPr>
      <t xml:space="preserve"> </t>
    </r>
    <r>
      <rPr>
        <sz val="10"/>
        <rFont val="Iskoola Pota"/>
        <family val="2"/>
      </rPr>
      <t>(</t>
    </r>
    <r>
      <rPr>
        <sz val="10"/>
        <rFont val="Arial"/>
        <family val="2"/>
      </rPr>
      <t xml:space="preserve"> Stone pitching areaX22 cm+ Rock toe qty + toe wall of stone pitching)3 km lead</t>
    </r>
  </si>
  <si>
    <t xml:space="preserve">iMy ,oa dksj oky feVVh &lt;qykbZ 3 fdeh- yhM </t>
  </si>
  <si>
    <t xml:space="preserve">ikuh &lt;qykbZ&amp; iMy dk;Z gsrq 2 fdeh- yhM </t>
  </si>
  <si>
    <t xml:space="preserve">ikuh &lt;qykbZ&amp; feVVh ds caM dk;Z gsrq 2 fdeh- yhM </t>
  </si>
  <si>
    <r>
      <t xml:space="preserve">vkdfLed O;; </t>
    </r>
    <r>
      <rPr>
        <sz val="11"/>
        <rFont val="Arial"/>
        <family val="2"/>
      </rPr>
      <t xml:space="preserve">3% and 2 % TA /BFT </t>
    </r>
    <r>
      <rPr>
        <sz val="11"/>
        <rFont val="Kruti Dev 010"/>
      </rPr>
      <t xml:space="preserve"> gsrq</t>
    </r>
  </si>
  <si>
    <r>
      <t>lkexzh jkf'k dkye¼12</t>
    </r>
    <r>
      <rPr>
        <sz val="10"/>
        <rFont val="Kruti Dev 010"/>
      </rPr>
      <t>&amp;</t>
    </r>
    <r>
      <rPr>
        <sz val="11"/>
        <rFont val="Kruti Dev 010"/>
      </rPr>
      <t>14½</t>
    </r>
  </si>
  <si>
    <t>dk;ZLFky ij dk;Z dh rFkk etnwjksa dh fuxjkuh gsrq  esV dh etnwjh ds fy;s izko/kku 643201@176@50</t>
  </si>
  <si>
    <t>Material</t>
  </si>
  <si>
    <t>for rock toe and toe wall</t>
  </si>
  <si>
    <t>scraping ,puddle trench</t>
  </si>
  <si>
    <t>In puddle trench</t>
  </si>
  <si>
    <t xml:space="preserve">u/s &amp; d/s slope area qty as per pitching &amp; turfing area </t>
  </si>
  <si>
    <t>semi skilled</t>
  </si>
  <si>
    <t>skilled</t>
  </si>
  <si>
    <t>T &amp; P</t>
  </si>
  <si>
    <t>unskilled Labour cost</t>
  </si>
  <si>
    <t>Cykd</t>
  </si>
  <si>
    <t>yqaMªk</t>
  </si>
  <si>
    <t>ftyk</t>
  </si>
  <si>
    <r>
      <t xml:space="preserve">  feuh ijdksys'ku VSad fuekZ.k dk;Z dk ekud izkDdyu dk xks'kokjk </t>
    </r>
    <r>
      <rPr>
        <b/>
        <sz val="16"/>
        <rFont val="Aparajita"/>
        <family val="2"/>
      </rPr>
      <t>(ABSTRACT)</t>
    </r>
  </si>
  <si>
    <t xml:space="preserve"> flD;ksj ,l-vks-vkj- vkbVe dzekad</t>
  </si>
  <si>
    <t>Unskilled labour</t>
  </si>
  <si>
    <t>Rs 8462</t>
  </si>
  <si>
    <t>Rs 62959</t>
  </si>
  <si>
    <t>Rs 277736</t>
  </si>
  <si>
    <t xml:space="preserve">Lead up to 50m for earthwork excavation is included in earthwork item extra 50 m lead taken for 50% Qty of earthwork . Lead of  puddle  &amp; core wall earth, pitching stone and rock toe stone taken as 3.0 km. For water, lead taken as 2 km. </t>
  </si>
  <si>
    <t>Mandays</t>
  </si>
  <si>
    <t>Days</t>
  </si>
  <si>
    <r>
      <t xml:space="preserve"> The Time of Concentration (Tc) is calculated as </t>
    </r>
    <r>
      <rPr>
        <b/>
        <sz val="14"/>
        <color theme="1"/>
        <rFont val="Times New Roman"/>
        <family val="1"/>
      </rPr>
      <t xml:space="preserve">Tc=0.0195 L^0.77 S^-0.385 </t>
    </r>
    <r>
      <rPr>
        <sz val="14"/>
        <color theme="1"/>
        <rFont val="Times New Roman"/>
        <family val="1"/>
      </rPr>
      <t xml:space="preserve"> where L= Maximum length of run in the catchment area in metre, Hc= The difference in elevation between highest point and outlet point of catchment (m). Here, grade of drainage area (ie.Slope of catchment or watershed) is </t>
    </r>
    <r>
      <rPr>
        <b/>
        <sz val="14"/>
        <color theme="1"/>
        <rFont val="Times New Roman"/>
        <family val="1"/>
      </rPr>
      <t>S=Hc/L</t>
    </r>
    <r>
      <rPr>
        <sz val="14"/>
        <color theme="1"/>
        <rFont val="Times New Roman"/>
        <family val="1"/>
      </rPr>
      <t>.</t>
    </r>
  </si>
  <si>
    <t xml:space="preserve"> 3784 Man Days required for the work. Labour charge required is Rs 666049.</t>
  </si>
  <si>
    <r>
      <t xml:space="preserve"> Area of core wall =(height of bund -free board)* core wall width,sloped length of Stone Pitching  U/S side=(H-free board)*√(1+s1</t>
    </r>
    <r>
      <rPr>
        <sz val="14"/>
        <rFont val="Times New Roman"/>
        <family val="1"/>
      </rPr>
      <t xml:space="preserve">²) and minimum 15 cm extra length above HFL is taken for wave action. Area of pitching is calculated by multiplying average sloped length with distance between different cross sections of the bund. </t>
    </r>
    <r>
      <rPr>
        <sz val="14"/>
        <color theme="1"/>
        <rFont val="Times New Roman"/>
        <family val="1"/>
      </rPr>
      <t>Attached sheet-7 with estimate.</t>
    </r>
  </si>
  <si>
    <t>8.Benching of seat of embankment</t>
  </si>
  <si>
    <t xml:space="preserve">9.Stone Pitching and Grass Turfing  to protect Embankment </t>
  </si>
  <si>
    <t>(i)</t>
  </si>
  <si>
    <t>(ii)</t>
  </si>
  <si>
    <t>(iii)</t>
  </si>
  <si>
    <t>(iv)</t>
  </si>
  <si>
    <r>
      <t xml:space="preserve"> The discharge capacity of the surplus weir has to be equal to peak run off. The Crested Weir formula is:</t>
    </r>
    <r>
      <rPr>
        <b/>
        <sz val="14"/>
        <color theme="1"/>
        <rFont val="Times New Roman"/>
        <family val="1"/>
      </rPr>
      <t xml:space="preserve"> Q= 1.711 L*H^3/2</t>
    </r>
    <r>
      <rPr>
        <sz val="14"/>
        <color theme="1"/>
        <rFont val="Times New Roman"/>
        <family val="1"/>
      </rPr>
      <t xml:space="preserve">,   where L = length of weir in m, H= depth of flow through the weir in m(max.0.70m). (Attached design sheet-2) </t>
    </r>
  </si>
  <si>
    <r>
      <t>The bottom of dam is scraped to depth 20 cm. All tree roots as well as sand,stones etc.at the site should be removed. The benching to a depth 15 cm and cross slope of 1:12  should be provided at the seat of embankment. This helps in better grip of the structure on the ground. Width of benching=H(S</t>
    </r>
    <r>
      <rPr>
        <sz val="10"/>
        <color theme="1"/>
        <rFont val="Times New Roman"/>
        <family val="1"/>
      </rPr>
      <t>1</t>
    </r>
    <r>
      <rPr>
        <sz val="14"/>
        <color theme="1"/>
        <rFont val="Times New Roman"/>
        <family val="1"/>
      </rPr>
      <t>+S</t>
    </r>
    <r>
      <rPr>
        <sz val="10"/>
        <color theme="1"/>
        <rFont val="Times New Roman"/>
        <family val="1"/>
      </rPr>
      <t>2</t>
    </r>
    <r>
      <rPr>
        <sz val="14"/>
        <color theme="1"/>
        <rFont val="Times New Roman"/>
        <family val="1"/>
      </rPr>
      <t>)+W</t>
    </r>
  </si>
  <si>
    <t>Benching(Stripping)</t>
  </si>
  <si>
    <t>Area of benching from detailed cal. Sheet. Average depth0.15 m</t>
  </si>
  <si>
    <r>
      <t xml:space="preserve">Volume of embankment is calculated by multiplying the cross sectional area with length. The formula of cross section at each point on the structure for a trapezium used is: </t>
    </r>
    <r>
      <rPr>
        <b/>
        <sz val="14"/>
        <color theme="1"/>
        <rFont val="Times New Roman"/>
        <family val="1"/>
      </rPr>
      <t>Area= 1/2( S*H²)+(Tw*H),</t>
    </r>
    <r>
      <rPr>
        <sz val="14"/>
        <color theme="1"/>
        <rFont val="Times New Roman"/>
        <family val="1"/>
      </rPr>
      <t xml:space="preserve"> where S= S1+S2,(sum of u/s and d/s slope, H= Height of the Bund at any point, Tw= Top width of the Bund 3m,S1=3, S2=2.</t>
    </r>
  </si>
  <si>
    <t xml:space="preserve"> cut off trench is constructed up to GL. Above GL, the Core Wall is constructed vertically up to FRL ie. 3.1 m. The width is taken 3m uniformly. The clay is soaked, kneaded and rammed to make a thin impermeable wall. This forms the core wall of the Dam.</t>
  </si>
  <si>
    <t xml:space="preserve"> Detailed Quantity calculation of different components of  Earthen Bund of MPT Purkela</t>
  </si>
  <si>
    <t>10.Rock Toe</t>
  </si>
  <si>
    <t>11.Surplus Waste Wier Design</t>
  </si>
  <si>
    <t>12.Volume of Embankment</t>
  </si>
  <si>
    <t>13.Volume of different components of embankment</t>
  </si>
  <si>
    <t xml:space="preserve">Water in excess of FRL is drained out by the waise weir. The base of waste weir is at FRL.Spells of rain can vary greatly in intensity.The dimensions of the surplus weir are determined by taking into consideration the peak runoff from the catchment in the following steps:-           </t>
  </si>
  <si>
    <t>Note: Quantity Formulae of above components are explained in the Technical Report in sl.no. 8,9,10,12 &amp;13</t>
  </si>
  <si>
    <t xml:space="preserve">Earthwork quantity  as per Qty estimate sheet </t>
  </si>
  <si>
    <t>lkexzh jkf'k dkye¼7-9½</t>
  </si>
  <si>
    <t xml:space="preserve">Quantity estimation of different components of bund </t>
  </si>
  <si>
    <r>
      <t xml:space="preserve">Used Chhattisgarh State RES SOR for MGNREGA up loaded in 'SECURE'.The items specification and their rates are attached as annexure </t>
    </r>
    <r>
      <rPr>
        <b/>
        <sz val="14"/>
        <color theme="1"/>
        <rFont val="Times New Roman"/>
        <family val="1"/>
      </rPr>
      <t>Sheet-10</t>
    </r>
  </si>
  <si>
    <r>
      <rPr>
        <b/>
        <sz val="14"/>
        <color theme="1"/>
        <rFont val="Times New Roman"/>
        <family val="1"/>
      </rPr>
      <t>As per SAMARTHYA Technical Manual Chapter-3</t>
    </r>
    <r>
      <rPr>
        <sz val="14"/>
        <color theme="1"/>
        <rFont val="Times New Roman"/>
        <family val="1"/>
      </rPr>
      <t xml:space="preserve">, the Rational Formula for peak runoff </t>
    </r>
    <r>
      <rPr>
        <b/>
        <sz val="14"/>
        <color theme="1"/>
        <rFont val="Times New Roman"/>
        <family val="1"/>
      </rPr>
      <t xml:space="preserve">Q=CIA/360  </t>
    </r>
    <r>
      <rPr>
        <sz val="14"/>
        <color theme="1"/>
        <rFont val="Times New Roman"/>
        <family val="1"/>
      </rPr>
      <t>where, Q= peak runoff in cubic meter per second ,C=coefficient of runoff in catchment area., I= intensity of rainfall in millimeters per hour obtained from Table 3.12 and then Table 3.13 for duration of Time of Concentration(Tc) in minutes and A= total catchment area of the Dam in  hectares. Attached sheet-4</t>
    </r>
    <r>
      <rPr>
        <sz val="10"/>
        <color theme="1"/>
        <rFont val="Times New Roman"/>
        <family val="1"/>
      </rPr>
      <t>for table</t>
    </r>
    <r>
      <rPr>
        <sz val="14"/>
        <color theme="1"/>
        <rFont val="Times New Roman"/>
        <family val="1"/>
      </rPr>
      <t xml:space="preserve">                  </t>
    </r>
  </si>
  <si>
    <r>
      <t xml:space="preserve">Design Calculations  is as per attached </t>
    </r>
    <r>
      <rPr>
        <b/>
        <sz val="14"/>
        <color theme="1"/>
        <rFont val="Times New Roman"/>
        <family val="1"/>
      </rPr>
      <t>sheet-2.</t>
    </r>
    <r>
      <rPr>
        <sz val="14"/>
        <color theme="1"/>
        <rFont val="Times New Roman"/>
        <family val="1"/>
      </rPr>
      <t xml:space="preserve">  Basic Input data is as per attached </t>
    </r>
    <r>
      <rPr>
        <b/>
        <sz val="14"/>
        <color theme="1"/>
        <rFont val="Times New Roman"/>
        <family val="1"/>
      </rPr>
      <t>sheet-1</t>
    </r>
    <r>
      <rPr>
        <sz val="14"/>
        <color theme="1"/>
        <rFont val="Times New Roman"/>
        <family val="1"/>
      </rPr>
      <t>)</t>
    </r>
  </si>
  <si>
    <t>Attached Sheet-9</t>
  </si>
  <si>
    <r>
      <t xml:space="preserve">In order to drag the seepage line downwards within the base of the dam, stones or boulders are placed on the outermost side of the down stream portion. The rock toe consists of  three layers of sand, gravel and stones. The height of the rock toe is generally kept between 25 to 35% of embankment height. The Rock toe is required where bund height is more than 3m
</t>
    </r>
    <r>
      <rPr>
        <b/>
        <sz val="14"/>
        <color theme="1"/>
        <rFont val="Times New Roman"/>
        <family val="1"/>
      </rPr>
      <t>Height of Rock toe = H/4  and base width of rock toe = {(H/4S</t>
    </r>
    <r>
      <rPr>
        <b/>
        <vertAlign val="subscript"/>
        <sz val="14"/>
        <color theme="1"/>
        <rFont val="Times New Roman"/>
        <family val="1"/>
      </rPr>
      <t>2</t>
    </r>
    <r>
      <rPr>
        <b/>
        <sz val="14"/>
        <color theme="1"/>
        <rFont val="Times New Roman"/>
        <family val="1"/>
      </rPr>
      <t>) + (HS</t>
    </r>
    <r>
      <rPr>
        <b/>
        <vertAlign val="subscript"/>
        <sz val="14"/>
        <color theme="1"/>
        <rFont val="Times New Roman"/>
        <family val="1"/>
      </rPr>
      <t>2</t>
    </r>
    <r>
      <rPr>
        <b/>
        <sz val="14"/>
        <color theme="1"/>
        <rFont val="Times New Roman"/>
        <family val="1"/>
      </rPr>
      <t>/4)}where H is height of section and S2 is down stream  slope of bund
X-sectional area of rock toe = H</t>
    </r>
    <r>
      <rPr>
        <b/>
        <vertAlign val="superscript"/>
        <sz val="14"/>
        <color theme="1"/>
        <rFont val="Times New Roman"/>
        <family val="1"/>
      </rPr>
      <t>2</t>
    </r>
    <r>
      <rPr>
        <b/>
        <sz val="14"/>
        <color theme="1"/>
        <rFont val="Times New Roman"/>
        <family val="1"/>
      </rPr>
      <t>(1+S</t>
    </r>
    <r>
      <rPr>
        <b/>
        <vertAlign val="subscript"/>
        <sz val="14"/>
        <color theme="1"/>
        <rFont val="Times New Roman"/>
        <family val="1"/>
      </rPr>
      <t>2</t>
    </r>
    <r>
      <rPr>
        <b/>
        <vertAlign val="superscript"/>
        <sz val="14"/>
        <color theme="1"/>
        <rFont val="Times New Roman"/>
        <family val="1"/>
      </rPr>
      <t>2</t>
    </r>
    <r>
      <rPr>
        <b/>
        <sz val="14"/>
        <color theme="1"/>
        <rFont val="Times New Roman"/>
        <family val="1"/>
      </rPr>
      <t>)/32S</t>
    </r>
    <r>
      <rPr>
        <b/>
        <vertAlign val="subscript"/>
        <sz val="14"/>
        <color theme="1"/>
        <rFont val="Times New Roman"/>
        <family val="1"/>
      </rPr>
      <t>2</t>
    </r>
  </si>
  <si>
    <r>
      <t xml:space="preserve">To protect the upstream face from the sloughing action of  waves, the stone pitching with 22 cm thick boulders over stone falls or granular material layer will be provided up to MFL.  D/S face will be protected by planting grass (Grass  turfing) so that grass root binds the soil together.    </t>
    </r>
    <r>
      <rPr>
        <b/>
        <sz val="14"/>
        <color theme="1"/>
        <rFont val="Times New Roman"/>
        <family val="1"/>
      </rPr>
      <t>Width of pitching= (H - free board)*(S</t>
    </r>
    <r>
      <rPr>
        <b/>
        <vertAlign val="subscript"/>
        <sz val="14"/>
        <color theme="1"/>
        <rFont val="Times New Roman"/>
        <family val="1"/>
      </rPr>
      <t>1</t>
    </r>
    <r>
      <rPr>
        <b/>
        <vertAlign val="superscript"/>
        <sz val="14"/>
        <color theme="1"/>
        <rFont val="Times New Roman"/>
        <family val="1"/>
      </rPr>
      <t>2</t>
    </r>
    <r>
      <rPr>
        <b/>
        <sz val="14"/>
        <color theme="1"/>
        <rFont val="Times New Roman"/>
        <family val="1"/>
      </rPr>
      <t>+1)</t>
    </r>
    <r>
      <rPr>
        <b/>
        <vertAlign val="superscript"/>
        <sz val="14"/>
        <color theme="1"/>
        <rFont val="Times New Roman"/>
        <family val="1"/>
      </rPr>
      <t xml:space="preserve">1/2  </t>
    </r>
    <r>
      <rPr>
        <b/>
        <sz val="14"/>
        <color theme="1"/>
        <rFont val="Times New Roman"/>
        <family val="1"/>
      </rPr>
      <t xml:space="preserve">Width of Grass Turfing </t>
    </r>
    <r>
      <rPr>
        <sz val="14"/>
        <color theme="1"/>
        <rFont val="Times New Roman"/>
        <family val="1"/>
      </rPr>
      <t>= H</t>
    </r>
    <r>
      <rPr>
        <b/>
        <sz val="14"/>
        <color theme="1"/>
        <rFont val="Times New Roman"/>
        <family val="1"/>
      </rPr>
      <t>*(S</t>
    </r>
    <r>
      <rPr>
        <b/>
        <vertAlign val="subscript"/>
        <sz val="14"/>
        <color theme="1"/>
        <rFont val="Times New Roman"/>
        <family val="1"/>
      </rPr>
      <t>2</t>
    </r>
    <r>
      <rPr>
        <b/>
        <vertAlign val="superscript"/>
        <sz val="14"/>
        <color theme="1"/>
        <rFont val="Times New Roman"/>
        <family val="1"/>
      </rPr>
      <t>2</t>
    </r>
    <r>
      <rPr>
        <b/>
        <sz val="14"/>
        <color theme="1"/>
        <rFont val="Times New Roman"/>
        <family val="1"/>
      </rPr>
      <t>+1)</t>
    </r>
    <r>
      <rPr>
        <b/>
        <vertAlign val="superscript"/>
        <sz val="14"/>
        <color theme="1"/>
        <rFont val="Times New Roman"/>
        <family val="1"/>
      </rPr>
      <t>1/2</t>
    </r>
  </si>
  <si>
    <r>
      <t xml:space="preserve">The runoff coefficients C1,C2,C3 are  different for different type of areas such as cultivated ,forest,pasture land  A1,A2,A3,  different slopes ie. 0-5%, 5-10% , 10-30% etc. and therefore,weighted runoff coefficient C is calculated by formula :                                                </t>
    </r>
    <r>
      <rPr>
        <b/>
        <sz val="14"/>
        <color theme="1"/>
        <rFont val="Times New Roman"/>
        <family val="1"/>
      </rPr>
      <t xml:space="preserve">C= (C1A1+C2A2+C3A3)/(A1+A2+A3) </t>
    </r>
    <r>
      <rPr>
        <sz val="14"/>
        <color theme="1"/>
        <rFont val="Times New Roman"/>
        <family val="1"/>
      </rPr>
      <t>taken from Table 2.2 of Samarthya Manual. Attached sheet-3 for value of C</t>
    </r>
  </si>
  <si>
    <r>
      <t xml:space="preserve">Runoff coefficient with weighted average 
</t>
    </r>
    <r>
      <rPr>
        <b/>
        <sz val="12"/>
        <rFont val="Arial"/>
        <family val="2"/>
      </rPr>
      <t>(C)= (</t>
    </r>
    <r>
      <rPr>
        <b/>
        <sz val="12"/>
        <rFont val="Calibri"/>
        <family val="2"/>
      </rPr>
      <t>C1A1+C2A2+C3A3)/ (A1+A2+A3)</t>
    </r>
  </si>
  <si>
    <r>
      <t xml:space="preserve">Time of Concentration </t>
    </r>
    <r>
      <rPr>
        <b/>
        <sz val="12"/>
        <rFont val="Arial"/>
        <family val="2"/>
      </rPr>
      <t>(Tc) = 0.0195 L^ 0.77 S^-0.385</t>
    </r>
  </si>
  <si>
    <r>
      <t xml:space="preserve">Peak Runoff in Cumec </t>
    </r>
    <r>
      <rPr>
        <b/>
        <sz val="12"/>
        <rFont val="Arial"/>
        <family val="2"/>
      </rPr>
      <t xml:space="preserve">Q=CIA/360  </t>
    </r>
  </si>
  <si>
    <r>
      <t xml:space="preserve"> Width of Surplus weir </t>
    </r>
    <r>
      <rPr>
        <b/>
        <sz val="12"/>
        <rFont val="Arial"/>
        <family val="2"/>
      </rPr>
      <t xml:space="preserve"> Lw=Q /1.711 h</t>
    </r>
    <r>
      <rPr>
        <b/>
        <vertAlign val="superscript"/>
        <sz val="12"/>
        <rFont val="Arial"/>
        <family val="2"/>
      </rPr>
      <t xml:space="preserve">3/2 </t>
    </r>
  </si>
  <si>
    <r>
      <t xml:space="preserve">Length of weir Channel at d/s as per site condition </t>
    </r>
    <r>
      <rPr>
        <b/>
        <sz val="12"/>
        <rFont val="Arial"/>
        <family val="2"/>
      </rPr>
      <t>L</t>
    </r>
  </si>
  <si>
    <t>B. Output Data:</t>
  </si>
  <si>
    <t xml:space="preserve">C. 'Earthen Dam:Quantities </t>
  </si>
  <si>
    <t>A. DESIGN of Surplus weir from 'SAMARTHYA':</t>
  </si>
  <si>
    <t>Mini Percolation tank/'Earthen dam:Design Data &amp; Quantities</t>
  </si>
  <si>
    <t>Planning, Designing &amp; Preparation of standard Estimate of Mini Percolation Tank
Name of work: Mini Percolation Tank GP- Purkela, Block- Lundra, District:   Surguja, State- Chhattisgarh
Estimated cost:- Rs 10.15 lacs.</t>
  </si>
  <si>
    <t xml:space="preserve">Mini Percolation Tank is Constructed for recharging ground water storage. Such works are usually made on the upper part of the catchment area and over lineament. The water stored here percolates through pores to wells &amp; tube wells located in the lower part ot the catchment by virtue of which yield increases in wells. Such tanks can also be made in the immediate upstream portion of wells &amp; tube wells. This recharge, in turn,  will help in assured drinking water supply to human beings and Cattle through the existing wells &amp; tube wells </t>
  </si>
  <si>
    <t>Site for construction of mini percolation tank was visited by TA along with Gram Panchayat members &amp; Villagers of village Purkela. Datas required for planning and designing were observed such as- Checked water level in existing wells located in near by area, high flood level, levelling of nala bed level and width of nala, type of soil, type of covered area and nala bed slope. To get an idea of the percolation rate in proposed percolation tank site, experimantal pits were dug and filled with water. Field visit to the area for collection of data such as location coordinates and site selection criterias. Latitude 23.047ºN, longitude 83.3014º E</t>
  </si>
  <si>
    <t>2.2 GIS based plan</t>
  </si>
  <si>
    <t>2.3 Need of the work</t>
  </si>
  <si>
    <t>2.4 Expected Outcomes</t>
  </si>
  <si>
    <t>Collection of all thematic maps and layers through Bhuvan Portal, CLART, Global Mapper and Google Earth Pro, superimposing layers and analysing the problems. Attached Sheet No. 6</t>
  </si>
  <si>
    <t>3.1 Instruments to be used</t>
  </si>
  <si>
    <t>3.2 Data to be collected</t>
  </si>
  <si>
    <t>3.3 Data sheet format</t>
  </si>
  <si>
    <t>3.4 GPS Location Map</t>
  </si>
  <si>
    <t xml:space="preserve"> Rainfall data, Reduced level of nala cross section, Cross section and L section of the Bund Profile, Catchment area. Attached sheet no.- 1,5,6 (8)</t>
  </si>
  <si>
    <t>As per the requirement. Attached sheet no.- 1</t>
  </si>
  <si>
    <t xml:space="preserve"> Latitude 23.047ºN, longitude 83.3014º E</t>
  </si>
  <si>
    <t>4.1 Design considerations &amp; Norms</t>
  </si>
  <si>
    <t>2.1 Field visit details</t>
  </si>
  <si>
    <t>Free board below top bund level is taken atleast double the difference between full reservior level(FRL) and maximum high flood level(MFL). For 5m height of bund 1.2 m free board is adequate.</t>
  </si>
  <si>
    <t>Top width W=0.4 H +1=0.4*5+1=3 m  where H= Total height of Bund at any point.(Taken 5m.)</t>
  </si>
  <si>
    <r>
      <t>U/S slope (H:V) of 3:1 and D/S slope (H:V) of 2:1 are provided. Here S</t>
    </r>
    <r>
      <rPr>
        <sz val="11"/>
        <color theme="1"/>
        <rFont val="Times New Roman"/>
        <family val="1"/>
      </rPr>
      <t>1</t>
    </r>
    <r>
      <rPr>
        <sz val="14"/>
        <color theme="1"/>
        <rFont val="Times New Roman"/>
        <family val="1"/>
      </rPr>
      <t>=3, S</t>
    </r>
    <r>
      <rPr>
        <sz val="11"/>
        <color theme="1"/>
        <rFont val="Times New Roman"/>
        <family val="1"/>
      </rPr>
      <t>2</t>
    </r>
    <r>
      <rPr>
        <sz val="14"/>
        <color theme="1"/>
        <rFont val="Times New Roman"/>
        <family val="1"/>
      </rPr>
      <t>=2</t>
    </r>
  </si>
  <si>
    <t>5.1 Design Calculations</t>
  </si>
  <si>
    <t>6.1.1</t>
  </si>
  <si>
    <t>6.1.2</t>
  </si>
  <si>
    <t>6.1.3</t>
  </si>
  <si>
    <t>6.1.4</t>
  </si>
  <si>
    <t>Annexure</t>
  </si>
  <si>
    <t>Standard Estimate of the work. Attached Sheet - 11</t>
  </si>
  <si>
    <t xml:space="preserve">feV~Vh dk dke z¼xgjkbZ esa 30ls-eh-]pkSM+kbZ esa 1-50 eh- vkSj {ks=Qy esa 10-00oxZeh-ls vf/kd½ {ks=ksa dh [kqnkbZ e]sa 50 eh- dh nwjh rFkk1-50 eh- rd mapkbZ esa [kksssnh gqbZ feV~Vh ds fuiVku vkSj Qsadh gqbZ feV~Vh lery djus rFkk lQkbZ ls njslh djus ds lfgr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</si>
</sst>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00"/>
    <numFmt numFmtId="166" formatCode="0.0%"/>
    <numFmt numFmtId="167" formatCode="0.0000"/>
    <numFmt numFmtId="168" formatCode="_ * #,##0_ ;_ * \-#,##0_ ;_ * &quot;-&quot;??_ ;_ @_ "/>
  </numFmts>
  <fonts count="91">
    <font>
      <sz val="10"/>
      <name val="Arial"/>
      <family val="2"/>
    </font>
    <font>
      <b/>
      <sz val="10"/>
      <name val="Arial"/>
      <family val="2"/>
    </font>
    <font>
      <sz val="9"/>
      <name val="Arial"/>
      <family val="2"/>
    </font>
    <font>
      <sz val="10"/>
      <name val="Arial"/>
      <family val="2"/>
    </font>
    <font>
      <sz val="10"/>
      <name val="Kruti Dev 010"/>
    </font>
    <font>
      <b/>
      <sz val="10"/>
      <name val="Kruti Dev 010"/>
    </font>
    <font>
      <sz val="10"/>
      <name val="Times New Roman"/>
      <family val="1"/>
    </font>
    <font>
      <sz val="12"/>
      <name val="Kruti Dev 010"/>
    </font>
    <font>
      <sz val="10"/>
      <name val="Kundli"/>
    </font>
    <font>
      <b/>
      <sz val="10"/>
      <name val="Kundli"/>
    </font>
    <font>
      <b/>
      <sz val="10"/>
      <name val="Times New Roman"/>
      <family val="1"/>
    </font>
    <font>
      <i/>
      <sz val="10"/>
      <name val="Kruti Dev 010"/>
    </font>
    <font>
      <i/>
      <sz val="10"/>
      <name val="Kundli"/>
    </font>
    <font>
      <sz val="10"/>
      <name val="Kruti Dev 010 "/>
    </font>
    <font>
      <sz val="12"/>
      <name val="Kundli"/>
    </font>
    <font>
      <sz val="10"/>
      <color indexed="10"/>
      <name val="Times New Roman"/>
      <family val="1"/>
    </font>
    <font>
      <sz val="8"/>
      <name val="Arial"/>
      <family val="2"/>
    </font>
    <font>
      <b/>
      <sz val="12"/>
      <name val="Garamond"/>
      <family val="1"/>
    </font>
    <font>
      <b/>
      <sz val="10"/>
      <name val="Garamond"/>
      <family val="1"/>
    </font>
    <font>
      <sz val="12"/>
      <name val="Garamond"/>
      <family val="1"/>
    </font>
    <font>
      <sz val="11"/>
      <name val="Garamond"/>
      <family val="1"/>
    </font>
    <font>
      <sz val="10"/>
      <name val="Garamond"/>
      <family val="1"/>
    </font>
    <font>
      <b/>
      <sz val="12"/>
      <name val="Kruti Dev 010"/>
    </font>
    <font>
      <sz val="12"/>
      <name val="Times New Roman"/>
      <family val="1"/>
    </font>
    <font>
      <sz val="13"/>
      <name val="Kruti Dev 010"/>
    </font>
    <font>
      <i/>
      <sz val="12"/>
      <name val="Kruti Dev 010"/>
    </font>
    <font>
      <i/>
      <sz val="12"/>
      <name val="Kundli"/>
    </font>
    <font>
      <sz val="12"/>
      <name val="Kruti Dev 010 "/>
    </font>
    <font>
      <sz val="10"/>
      <name val="Iskoola Pota"/>
      <family val="2"/>
    </font>
    <font>
      <b/>
      <sz val="14"/>
      <name val="Arial"/>
      <family val="2"/>
    </font>
    <font>
      <b/>
      <sz val="12"/>
      <name val="Arial"/>
      <family val="2"/>
    </font>
    <font>
      <b/>
      <sz val="8"/>
      <name val="Arial"/>
      <family val="2"/>
    </font>
    <font>
      <b/>
      <sz val="14"/>
      <name val="Kruti Dev 010"/>
    </font>
    <font>
      <sz val="11"/>
      <name val="Arial"/>
      <family val="2"/>
    </font>
    <font>
      <sz val="10"/>
      <color theme="0"/>
      <name val="Arial"/>
      <family val="2"/>
    </font>
    <font>
      <sz val="12"/>
      <color theme="1"/>
      <name val="Kruti Dev 010"/>
    </font>
    <font>
      <sz val="12"/>
      <color theme="1"/>
      <name val="Times New Roman"/>
      <family val="1"/>
    </font>
    <font>
      <sz val="10"/>
      <name val="Calibri"/>
      <family val="2"/>
      <scheme val="minor"/>
    </font>
    <font>
      <sz val="12"/>
      <color rgb="FFFF0000"/>
      <name val="Times New Roman"/>
      <family val="1"/>
    </font>
    <font>
      <sz val="9"/>
      <color theme="0"/>
      <name val="Arial"/>
      <family val="2"/>
    </font>
    <font>
      <b/>
      <sz val="10"/>
      <color theme="0"/>
      <name val="Arial"/>
      <family val="2"/>
    </font>
    <font>
      <b/>
      <sz val="14"/>
      <color theme="0"/>
      <name val="Arial"/>
      <family val="2"/>
    </font>
    <font>
      <b/>
      <sz val="12"/>
      <color theme="0"/>
      <name val="Arial"/>
      <family val="2"/>
    </font>
    <font>
      <b/>
      <sz val="11"/>
      <color theme="0"/>
      <name val="Arial"/>
      <family val="2"/>
    </font>
    <font>
      <b/>
      <sz val="16"/>
      <color theme="1"/>
      <name val="Times New Roman"/>
      <family val="1"/>
    </font>
    <font>
      <b/>
      <sz val="11"/>
      <color theme="1"/>
      <name val="Times New Roman"/>
      <family val="1"/>
    </font>
    <font>
      <u/>
      <sz val="11"/>
      <color theme="10"/>
      <name val="Calibri"/>
      <family val="2"/>
      <scheme val="minor"/>
    </font>
    <font>
      <b/>
      <sz val="9"/>
      <name val="Arial"/>
      <family val="2"/>
    </font>
    <font>
      <b/>
      <sz val="11"/>
      <name val="Arial"/>
      <family val="2"/>
    </font>
    <font>
      <b/>
      <sz val="10"/>
      <color theme="2"/>
      <name val="Arial"/>
      <family val="2"/>
    </font>
    <font>
      <sz val="10"/>
      <color theme="2"/>
      <name val="Arial"/>
      <family val="2"/>
    </font>
    <font>
      <b/>
      <sz val="14"/>
      <color theme="2"/>
      <name val="Kruti Dev 010"/>
    </font>
    <font>
      <b/>
      <sz val="14"/>
      <color theme="2"/>
      <name val="Times New Roman"/>
      <family val="1"/>
    </font>
    <font>
      <b/>
      <sz val="14"/>
      <color theme="2"/>
      <name val="Kundli"/>
    </font>
    <font>
      <sz val="14"/>
      <name val="Arial"/>
      <family val="2"/>
    </font>
    <font>
      <sz val="10"/>
      <name val="Kartika"/>
      <family val="1"/>
    </font>
    <font>
      <b/>
      <sz val="10"/>
      <name val="Arial Narrow"/>
      <family val="2"/>
    </font>
    <font>
      <sz val="10"/>
      <color rgb="FFFF0000"/>
      <name val="Times New Roman"/>
      <family val="1"/>
    </font>
    <font>
      <sz val="12"/>
      <name val="Arial"/>
      <family val="2"/>
    </font>
    <font>
      <vertAlign val="subscript"/>
      <sz val="10"/>
      <name val="Arial"/>
      <family val="2"/>
    </font>
    <font>
      <sz val="11"/>
      <name val="Kruti Dev 010"/>
    </font>
    <font>
      <sz val="8"/>
      <name val="Kruti Dev 010"/>
    </font>
    <font>
      <sz val="11"/>
      <name val="Kundli"/>
    </font>
    <font>
      <sz val="12"/>
      <name val="Iskoola Pota"/>
      <family val="2"/>
    </font>
    <font>
      <sz val="9"/>
      <name val="Times New Roman"/>
      <family val="1"/>
    </font>
    <font>
      <sz val="9"/>
      <name val="Kruti Dev 010"/>
    </font>
    <font>
      <sz val="11"/>
      <name val="Times New Roman"/>
      <family val="1"/>
    </font>
    <font>
      <u/>
      <sz val="10"/>
      <name val="Times New Roman"/>
      <family val="1"/>
    </font>
    <font>
      <sz val="9"/>
      <name val="Kundli"/>
    </font>
    <font>
      <sz val="10"/>
      <name val="Arial Narrow"/>
      <family val="2"/>
    </font>
    <font>
      <sz val="11"/>
      <name val="Arial Narrow"/>
      <family val="2"/>
    </font>
    <font>
      <sz val="11"/>
      <name val="Calibri"/>
      <family val="2"/>
    </font>
    <font>
      <sz val="11"/>
      <name val="Iskoola Pota"/>
      <family val="2"/>
    </font>
    <font>
      <b/>
      <sz val="11"/>
      <name val="Kruti Dev 010"/>
    </font>
    <font>
      <i/>
      <sz val="10"/>
      <name val="Arial"/>
      <family val="2"/>
    </font>
    <font>
      <sz val="12"/>
      <name val="Arial Narrow"/>
      <family val="2"/>
    </font>
    <font>
      <b/>
      <sz val="16"/>
      <name val="Kruti Dev 010"/>
    </font>
    <font>
      <b/>
      <sz val="16"/>
      <name val="Aparajita"/>
      <family val="2"/>
    </font>
    <font>
      <b/>
      <sz val="14"/>
      <color theme="1"/>
      <name val="Times New Roman"/>
      <family val="1"/>
    </font>
    <font>
      <sz val="14"/>
      <color theme="1"/>
      <name val="Times New Roman"/>
      <family val="1"/>
    </font>
    <font>
      <b/>
      <vertAlign val="subscript"/>
      <sz val="14"/>
      <color theme="1"/>
      <name val="Times New Roman"/>
      <family val="1"/>
    </font>
    <font>
      <b/>
      <vertAlign val="superscript"/>
      <sz val="14"/>
      <color theme="1"/>
      <name val="Times New Roman"/>
      <family val="1"/>
    </font>
    <font>
      <sz val="14"/>
      <name val="Times New Roman"/>
      <family val="1"/>
    </font>
    <font>
      <sz val="14"/>
      <color rgb="FFFF0000"/>
      <name val="Times New Roman"/>
      <family val="1"/>
    </font>
    <font>
      <b/>
      <sz val="14"/>
      <color rgb="FFFF0000"/>
      <name val="Times New Roman"/>
      <family val="1"/>
    </font>
    <font>
      <sz val="10"/>
      <color theme="1"/>
      <name val="Times New Roman"/>
      <family val="1"/>
    </font>
    <font>
      <b/>
      <sz val="14"/>
      <name val="Times New Roman"/>
      <family val="1"/>
    </font>
    <font>
      <b/>
      <sz val="15"/>
      <name val="Arial"/>
      <family val="2"/>
    </font>
    <font>
      <b/>
      <sz val="12"/>
      <name val="Calibri"/>
      <family val="2"/>
    </font>
    <font>
      <b/>
      <vertAlign val="superscript"/>
      <sz val="12"/>
      <name val="Arial"/>
      <family val="2"/>
    </font>
    <font>
      <sz val="11"/>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3" tint="0.39997558519241921"/>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diagonalUp="1" diagonalDown="1">
      <left style="dotted">
        <color indexed="64"/>
      </left>
      <right/>
      <top style="dotted">
        <color indexed="64"/>
      </top>
      <bottom/>
      <diagonal style="dotted">
        <color indexed="64"/>
      </diagonal>
    </border>
    <border diagonalUp="1" diagonalDown="1">
      <left/>
      <right/>
      <top style="dotted">
        <color indexed="64"/>
      </top>
      <bottom/>
      <diagonal style="dotted">
        <color indexed="64"/>
      </diagonal>
    </border>
    <border diagonalUp="1" diagonalDown="1">
      <left/>
      <right style="dotted">
        <color indexed="64"/>
      </right>
      <top style="dotted">
        <color indexed="64"/>
      </top>
      <bottom/>
      <diagonal style="dotted">
        <color indexed="64"/>
      </diagonal>
    </border>
    <border diagonalUp="1" diagonalDown="1">
      <left style="dotted">
        <color indexed="64"/>
      </left>
      <right/>
      <top/>
      <bottom/>
      <diagonal style="dotted">
        <color indexed="64"/>
      </diagonal>
    </border>
    <border diagonalUp="1" diagonalDown="1">
      <left/>
      <right/>
      <top/>
      <bottom/>
      <diagonal style="dotted">
        <color indexed="64"/>
      </diagonal>
    </border>
    <border diagonalUp="1" diagonalDown="1">
      <left/>
      <right style="dotted">
        <color indexed="64"/>
      </right>
      <top/>
      <bottom/>
      <diagonal style="dotted">
        <color indexed="64"/>
      </diagonal>
    </border>
    <border diagonalUp="1" diagonalDown="1">
      <left/>
      <right/>
      <top/>
      <bottom style="thin">
        <color indexed="64"/>
      </bottom>
      <diagonal style="dotted">
        <color indexed="64"/>
      </diagonal>
    </border>
    <border diagonalUp="1" diagonalDown="1">
      <left style="thin">
        <color indexed="64"/>
      </left>
      <right/>
      <top style="hair">
        <color indexed="64"/>
      </top>
      <bottom/>
      <diagonal style="dotted">
        <color indexed="64"/>
      </diagonal>
    </border>
    <border diagonalUp="1" diagonalDown="1">
      <left/>
      <right/>
      <top style="hair">
        <color indexed="64"/>
      </top>
      <bottom/>
      <diagonal style="dotted">
        <color indexed="64"/>
      </diagonal>
    </border>
    <border diagonalUp="1" diagonalDown="1">
      <left/>
      <right style="thin">
        <color indexed="64"/>
      </right>
      <top style="hair">
        <color indexed="64"/>
      </top>
      <bottom/>
      <diagonal style="dotted">
        <color indexed="64"/>
      </diagonal>
    </border>
    <border diagonalUp="1" diagonalDown="1">
      <left style="thin">
        <color indexed="64"/>
      </left>
      <right/>
      <top/>
      <bottom/>
      <diagonal style="dotted">
        <color indexed="64"/>
      </diagonal>
    </border>
    <border diagonalUp="1" diagonalDown="1">
      <left/>
      <right style="thin">
        <color indexed="64"/>
      </right>
      <top/>
      <bottom/>
      <diagonal style="dotted">
        <color indexed="64"/>
      </diagonal>
    </border>
    <border diagonalUp="1" diagonalDown="1">
      <left style="thin">
        <color indexed="64"/>
      </left>
      <right/>
      <top/>
      <bottom style="thin">
        <color indexed="64"/>
      </bottom>
      <diagonal style="dotted">
        <color indexed="64"/>
      </diagonal>
    </border>
    <border diagonalUp="1" diagonalDown="1">
      <left/>
      <right style="thin">
        <color indexed="64"/>
      </right>
      <top/>
      <bottom style="thin">
        <color indexed="64"/>
      </bottom>
      <diagonal style="dotted">
        <color indexed="64"/>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s>
  <cellStyleXfs count="4">
    <xf numFmtId="0" fontId="0" fillId="0" borderId="0"/>
    <xf numFmtId="43" fontId="3" fillId="0" borderId="0" applyFont="0" applyFill="0" applyBorder="0" applyAlignment="0" applyProtection="0"/>
    <xf numFmtId="0" fontId="46" fillId="0" borderId="0" applyNumberFormat="0" applyFill="0" applyBorder="0" applyAlignment="0" applyProtection="0"/>
    <xf numFmtId="9" fontId="3" fillId="0" borderId="0" applyFont="0" applyFill="0" applyBorder="0" applyAlignment="0" applyProtection="0"/>
  </cellStyleXfs>
  <cellXfs count="721">
    <xf numFmtId="0" fontId="0" fillId="0" borderId="0" xfId="0"/>
    <xf numFmtId="0" fontId="34" fillId="3" borderId="0" xfId="0" applyFont="1" applyFill="1"/>
    <xf numFmtId="0" fontId="2" fillId="3" borderId="0" xfId="0" applyFont="1" applyFill="1"/>
    <xf numFmtId="0" fontId="0" fillId="0" borderId="2" xfId="0" applyBorder="1"/>
    <xf numFmtId="2" fontId="0" fillId="0" borderId="2" xfId="0" applyNumberFormat="1" applyBorder="1"/>
    <xf numFmtId="0" fontId="3" fillId="0" borderId="2" xfId="0" applyFont="1" applyBorder="1"/>
    <xf numFmtId="2" fontId="1" fillId="0" borderId="2" xfId="0" applyNumberFormat="1" applyFont="1" applyBorder="1"/>
    <xf numFmtId="0" fontId="35" fillId="0" borderId="0" xfId="0" applyFont="1"/>
    <xf numFmtId="2" fontId="6" fillId="0" borderId="2" xfId="0" applyNumberFormat="1" applyFont="1" applyFill="1" applyBorder="1" applyAlignment="1">
      <alignment horizontal="left" vertical="center"/>
    </xf>
    <xf numFmtId="1" fontId="8" fillId="0" borderId="2" xfId="0" applyNumberFormat="1" applyFont="1" applyFill="1" applyBorder="1" applyAlignment="1">
      <alignment horizontal="center" vertical="center"/>
    </xf>
    <xf numFmtId="0" fontId="35" fillId="0" borderId="0" xfId="0" applyFont="1" applyBorder="1"/>
    <xf numFmtId="0" fontId="8" fillId="0" borderId="0" xfId="0" applyFont="1" applyFill="1" applyBorder="1"/>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1" fontId="8" fillId="0" borderId="0" xfId="0" applyNumberFormat="1" applyFont="1" applyFill="1" applyBorder="1" applyAlignment="1">
      <alignment horizontal="center" vertical="center"/>
    </xf>
    <xf numFmtId="0" fontId="8" fillId="0" borderId="0" xfId="0" applyFont="1" applyFill="1" applyAlignment="1">
      <alignment horizontal="center"/>
    </xf>
    <xf numFmtId="0" fontId="4" fillId="0" borderId="0" xfId="0" applyFont="1" applyFill="1" applyBorder="1" applyAlignment="1">
      <alignment vertical="center"/>
    </xf>
    <xf numFmtId="2" fontId="10" fillId="0" borderId="0" xfId="0" applyNumberFormat="1" applyFont="1" applyFill="1" applyBorder="1" applyAlignment="1">
      <alignment vertical="center"/>
    </xf>
    <xf numFmtId="1" fontId="6" fillId="0" borderId="5" xfId="0" applyNumberFormat="1" applyFont="1" applyFill="1" applyBorder="1" applyAlignment="1">
      <alignment vertical="center"/>
    </xf>
    <xf numFmtId="1" fontId="6" fillId="0" borderId="4" xfId="0" applyNumberFormat="1" applyFont="1" applyFill="1" applyBorder="1" applyAlignment="1">
      <alignment vertical="center"/>
    </xf>
    <xf numFmtId="1" fontId="10" fillId="0" borderId="2" xfId="0" applyNumberFormat="1" applyFont="1" applyFill="1" applyBorder="1" applyAlignment="1">
      <alignment vertical="center"/>
    </xf>
    <xf numFmtId="0" fontId="8" fillId="0" borderId="2" xfId="0" applyFont="1" applyFill="1" applyBorder="1" applyAlignment="1">
      <alignment horizontal="center" vertical="center"/>
    </xf>
    <xf numFmtId="0" fontId="10" fillId="0" borderId="0" xfId="0" applyFont="1" applyFill="1" applyBorder="1" applyAlignment="1">
      <alignment vertical="center"/>
    </xf>
    <xf numFmtId="0" fontId="10" fillId="0" borderId="2" xfId="0" applyFont="1" applyFill="1" applyBorder="1" applyAlignment="1">
      <alignment vertical="center"/>
    </xf>
    <xf numFmtId="0" fontId="4" fillId="0" borderId="0" xfId="0" applyFont="1" applyFill="1" applyBorder="1" applyAlignment="1">
      <alignment horizontal="left" vertical="center" wrapText="1"/>
    </xf>
    <xf numFmtId="0" fontId="14" fillId="0" borderId="0" xfId="0" applyFont="1" applyFill="1" applyBorder="1"/>
    <xf numFmtId="0" fontId="7" fillId="0" borderId="0" xfId="0" applyFont="1" applyFill="1" applyBorder="1" applyAlignment="1">
      <alignment horizontal="center" vertical="center"/>
    </xf>
    <xf numFmtId="0" fontId="7" fillId="0" borderId="0" xfId="0" applyFont="1" applyFill="1" applyBorder="1"/>
    <xf numFmtId="0" fontId="14" fillId="0" borderId="0" xfId="0" applyFont="1" applyFill="1" applyBorder="1" applyAlignment="1">
      <alignment horizontal="center"/>
    </xf>
    <xf numFmtId="0" fontId="36" fillId="0" borderId="0" xfId="0" applyFont="1" applyBorder="1" applyAlignment="1">
      <alignment horizontal="center"/>
    </xf>
    <xf numFmtId="1" fontId="6" fillId="0" borderId="0" xfId="0" applyNumberFormat="1" applyFont="1" applyFill="1" applyBorder="1" applyAlignment="1">
      <alignment vertical="center"/>
    </xf>
    <xf numFmtId="0" fontId="14" fillId="0" borderId="0" xfId="0" applyFont="1" applyFill="1" applyBorder="1" applyAlignment="1">
      <alignment horizontal="left"/>
    </xf>
    <xf numFmtId="0" fontId="7" fillId="0" borderId="0" xfId="0" applyFont="1" applyFill="1" applyBorder="1" applyAlignment="1">
      <alignment vertical="center"/>
    </xf>
    <xf numFmtId="0" fontId="14" fillId="0" borderId="7" xfId="0" applyFont="1" applyFill="1" applyBorder="1"/>
    <xf numFmtId="0" fontId="14" fillId="0" borderId="7" xfId="0" applyFont="1" applyFill="1" applyBorder="1" applyAlignment="1">
      <alignment horizontal="left"/>
    </xf>
    <xf numFmtId="0" fontId="7" fillId="0" borderId="7" xfId="0" applyFont="1" applyFill="1" applyBorder="1"/>
    <xf numFmtId="0" fontId="14" fillId="0" borderId="7" xfId="0" applyFont="1" applyFill="1" applyBorder="1" applyAlignment="1">
      <alignment horizontal="center"/>
    </xf>
    <xf numFmtId="0" fontId="36" fillId="0" borderId="0" xfId="0" applyFont="1" applyAlignment="1">
      <alignment horizontal="center"/>
    </xf>
    <xf numFmtId="0" fontId="14" fillId="0" borderId="2" xfId="0" applyFont="1" applyFill="1" applyBorder="1"/>
    <xf numFmtId="0" fontId="14" fillId="0" borderId="2" xfId="0" applyFont="1" applyFill="1" applyBorder="1" applyAlignment="1">
      <alignment horizontal="left"/>
    </xf>
    <xf numFmtId="0" fontId="7" fillId="0" borderId="2" xfId="0" applyFont="1" applyFill="1" applyBorder="1"/>
    <xf numFmtId="0" fontId="14" fillId="0" borderId="2" xfId="0" applyFont="1" applyFill="1" applyBorder="1" applyAlignment="1">
      <alignment horizontal="center"/>
    </xf>
    <xf numFmtId="0" fontId="0" fillId="3" borderId="0" xfId="0" applyFill="1"/>
    <xf numFmtId="0" fontId="0" fillId="3" borderId="0"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5" xfId="0" applyFill="1" applyBorder="1"/>
    <xf numFmtId="0" fontId="0" fillId="3" borderId="3" xfId="0" applyFill="1" applyBorder="1"/>
    <xf numFmtId="0" fontId="0" fillId="3" borderId="4" xfId="0" applyFill="1" applyBorder="1"/>
    <xf numFmtId="0" fontId="0" fillId="4" borderId="5" xfId="0" applyFill="1" applyBorder="1"/>
    <xf numFmtId="0" fontId="0" fillId="4" borderId="3" xfId="0" applyFill="1" applyBorder="1"/>
    <xf numFmtId="0" fontId="0" fillId="4" borderId="4" xfId="0" applyFill="1" applyBorder="1"/>
    <xf numFmtId="0" fontId="0" fillId="4"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24" xfId="0" applyFill="1" applyBorder="1"/>
    <xf numFmtId="0" fontId="0" fillId="3" borderId="25" xfId="0" applyFill="1" applyBorder="1"/>
    <xf numFmtId="0" fontId="0" fillId="3" borderId="26" xfId="0" applyFill="1" applyBorder="1"/>
    <xf numFmtId="0" fontId="0" fillId="3" borderId="27" xfId="0" applyFill="1" applyBorder="1"/>
    <xf numFmtId="0" fontId="0" fillId="3" borderId="28" xfId="0" applyFill="1" applyBorder="1"/>
    <xf numFmtId="0" fontId="0" fillId="3" borderId="29" xfId="0" applyFill="1" applyBorder="1"/>
    <xf numFmtId="0" fontId="0" fillId="3" borderId="30" xfId="0" applyFill="1" applyBorder="1"/>
    <xf numFmtId="0" fontId="0" fillId="3" borderId="0" xfId="0" applyFill="1" applyBorder="1" applyAlignment="1"/>
    <xf numFmtId="0" fontId="0" fillId="3" borderId="31" xfId="0" applyFill="1" applyBorder="1"/>
    <xf numFmtId="0" fontId="0" fillId="3" borderId="32" xfId="0" applyFill="1" applyBorder="1"/>
    <xf numFmtId="0" fontId="0" fillId="3" borderId="33" xfId="0" applyFill="1" applyBorder="1"/>
    <xf numFmtId="0" fontId="0" fillId="4" borderId="10" xfId="0" applyFill="1" applyBorder="1"/>
    <xf numFmtId="0" fontId="0" fillId="4" borderId="8" xfId="0" applyFill="1" applyBorder="1"/>
    <xf numFmtId="0" fontId="18" fillId="0" borderId="1" xfId="0" applyFont="1" applyFill="1" applyBorder="1" applyAlignment="1">
      <alignment wrapText="1"/>
    </xf>
    <xf numFmtId="0" fontId="17" fillId="0" borderId="34" xfId="0" applyFont="1" applyFill="1" applyBorder="1" applyAlignment="1">
      <alignment horizontal="center" wrapText="1"/>
    </xf>
    <xf numFmtId="0" fontId="17" fillId="0" borderId="1" xfId="0" applyFont="1" applyFill="1" applyBorder="1" applyAlignment="1">
      <alignment wrapText="1"/>
    </xf>
    <xf numFmtId="0" fontId="17" fillId="0" borderId="1" xfId="0" quotePrefix="1" applyFont="1" applyFill="1" applyBorder="1" applyAlignment="1">
      <alignment horizontal="left" wrapText="1"/>
    </xf>
    <xf numFmtId="2" fontId="17" fillId="0" borderId="1" xfId="0" quotePrefix="1" applyNumberFormat="1" applyFont="1" applyFill="1" applyBorder="1" applyAlignment="1">
      <alignment horizontal="left" wrapText="1"/>
    </xf>
    <xf numFmtId="2" fontId="17" fillId="0" borderId="1" xfId="0" applyNumberFormat="1" applyFont="1" applyFill="1" applyBorder="1" applyAlignment="1">
      <alignment wrapText="1"/>
    </xf>
    <xf numFmtId="2" fontId="19" fillId="0" borderId="1" xfId="0" applyNumberFormat="1" applyFont="1" applyFill="1" applyBorder="1" applyAlignment="1"/>
    <xf numFmtId="0" fontId="20" fillId="0" borderId="1" xfId="0" applyFont="1" applyFill="1" applyBorder="1" applyAlignment="1"/>
    <xf numFmtId="0" fontId="19" fillId="0" borderId="34" xfId="0" applyFont="1" applyFill="1" applyBorder="1" applyAlignment="1">
      <alignment wrapText="1"/>
    </xf>
    <xf numFmtId="0" fontId="17" fillId="0" borderId="1" xfId="0" applyFont="1" applyFill="1" applyBorder="1" applyAlignment="1"/>
    <xf numFmtId="0" fontId="19" fillId="0" borderId="1" xfId="0" applyFont="1" applyFill="1" applyBorder="1" applyAlignment="1"/>
    <xf numFmtId="0" fontId="19" fillId="0" borderId="35" xfId="0" applyFont="1" applyFill="1" applyBorder="1" applyAlignment="1"/>
    <xf numFmtId="2" fontId="19" fillId="0" borderId="35" xfId="0" applyNumberFormat="1" applyFont="1" applyFill="1" applyBorder="1" applyAlignment="1"/>
    <xf numFmtId="0" fontId="19" fillId="0" borderId="1" xfId="0" applyFont="1" applyFill="1" applyBorder="1" applyAlignment="1">
      <alignment horizontal="left"/>
    </xf>
    <xf numFmtId="1" fontId="19" fillId="0" borderId="35" xfId="0" applyNumberFormat="1" applyFont="1" applyFill="1" applyBorder="1" applyAlignment="1"/>
    <xf numFmtId="0" fontId="21" fillId="0" borderId="0" xfId="0" applyFont="1" applyFill="1" applyAlignment="1">
      <alignment wrapText="1"/>
    </xf>
    <xf numFmtId="2" fontId="17" fillId="0" borderId="35" xfId="0" applyNumberFormat="1" applyFont="1" applyFill="1" applyBorder="1" applyAlignment="1"/>
    <xf numFmtId="0" fontId="19" fillId="0" borderId="1" xfId="0" quotePrefix="1" applyFont="1" applyFill="1" applyBorder="1" applyAlignment="1">
      <alignment horizontal="left"/>
    </xf>
    <xf numFmtId="2" fontId="37" fillId="0" borderId="1" xfId="0" applyNumberFormat="1" applyFont="1" applyFill="1" applyBorder="1" applyAlignment="1">
      <alignment horizontal="left" vertical="top"/>
    </xf>
    <xf numFmtId="1" fontId="19" fillId="0" borderId="1" xfId="0" applyNumberFormat="1" applyFont="1" applyFill="1" applyBorder="1" applyAlignment="1"/>
    <xf numFmtId="0" fontId="7" fillId="0" borderId="1" xfId="0" applyFont="1" applyFill="1" applyBorder="1" applyAlignment="1">
      <alignment horizontal="left"/>
    </xf>
    <xf numFmtId="0" fontId="21" fillId="0" borderId="0" xfId="0" applyFont="1" applyAlignment="1"/>
    <xf numFmtId="0" fontId="17" fillId="0" borderId="1" xfId="0" applyFont="1" applyFill="1" applyBorder="1" applyAlignment="1">
      <alignment horizontal="center"/>
    </xf>
    <xf numFmtId="0" fontId="0" fillId="0" borderId="0" xfId="0" applyAlignment="1"/>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4" fillId="0" borderId="2" xfId="0" applyFont="1" applyFill="1" applyBorder="1" applyAlignment="1">
      <alignment horizontal="center" vertical="top" wrapText="1"/>
    </xf>
    <xf numFmtId="0" fontId="23" fillId="2" borderId="2" xfId="0" applyFont="1" applyFill="1" applyBorder="1" applyAlignment="1">
      <alignment horizontal="center" vertical="center" wrapText="1"/>
    </xf>
    <xf numFmtId="0" fontId="23" fillId="2" borderId="2" xfId="0" applyFont="1" applyFill="1" applyBorder="1" applyAlignment="1">
      <alignment horizontal="left" vertical="center" wrapText="1"/>
    </xf>
    <xf numFmtId="0" fontId="36" fillId="0" borderId="2" xfId="0" applyFont="1" applyBorder="1" applyAlignment="1">
      <alignment horizontal="center"/>
    </xf>
    <xf numFmtId="0" fontId="23" fillId="2" borderId="2" xfId="0" applyFont="1" applyFill="1" applyBorder="1" applyAlignment="1">
      <alignment horizontal="center" vertical="top" wrapText="1"/>
    </xf>
    <xf numFmtId="0" fontId="23" fillId="2" borderId="2" xfId="0" applyFont="1" applyFill="1" applyBorder="1" applyAlignment="1">
      <alignment horizontal="center" vertical="center"/>
    </xf>
    <xf numFmtId="2" fontId="23" fillId="2" borderId="2" xfId="0" applyNumberFormat="1" applyFont="1" applyFill="1" applyBorder="1" applyAlignment="1">
      <alignment horizontal="center" vertical="center"/>
    </xf>
    <xf numFmtId="2" fontId="23" fillId="2" borderId="2" xfId="0" applyNumberFormat="1" applyFont="1" applyFill="1" applyBorder="1" applyAlignment="1">
      <alignment horizontal="left" vertical="center"/>
    </xf>
    <xf numFmtId="0" fontId="7" fillId="2" borderId="2" xfId="0" applyFont="1" applyFill="1" applyBorder="1" applyAlignment="1">
      <alignment horizontal="center" vertical="center"/>
    </xf>
    <xf numFmtId="2" fontId="38" fillId="2" borderId="2" xfId="0" applyNumberFormat="1" applyFont="1" applyFill="1" applyBorder="1" applyAlignment="1">
      <alignment horizontal="center" vertical="center"/>
    </xf>
    <xf numFmtId="1" fontId="23" fillId="2" borderId="2" xfId="0" applyNumberFormat="1" applyFont="1" applyFill="1" applyBorder="1" applyAlignment="1">
      <alignment horizontal="center" vertical="center"/>
    </xf>
    <xf numFmtId="1" fontId="36" fillId="0" borderId="2" xfId="0" applyNumberFormat="1" applyFont="1" applyBorder="1" applyAlignment="1">
      <alignment horizontal="center" vertical="center"/>
    </xf>
    <xf numFmtId="0" fontId="23" fillId="2" borderId="2" xfId="0" applyFont="1" applyFill="1" applyBorder="1" applyAlignment="1">
      <alignment horizontal="center" vertical="top"/>
    </xf>
    <xf numFmtId="0" fontId="7" fillId="2" borderId="2" xfId="0" applyFont="1" applyFill="1" applyBorder="1" applyAlignment="1">
      <alignment horizontal="center" vertical="top"/>
    </xf>
    <xf numFmtId="0" fontId="7" fillId="2" borderId="5" xfId="0" applyFont="1" applyFill="1" applyBorder="1" applyAlignment="1">
      <alignment vertical="top" wrapText="1"/>
    </xf>
    <xf numFmtId="0" fontId="7" fillId="2" borderId="3" xfId="0" applyFont="1" applyFill="1" applyBorder="1" applyAlignment="1">
      <alignment vertical="top" wrapText="1"/>
    </xf>
    <xf numFmtId="0" fontId="7" fillId="2" borderId="4" xfId="0" applyFont="1" applyFill="1" applyBorder="1" applyAlignment="1">
      <alignment vertical="top" wrapText="1"/>
    </xf>
    <xf numFmtId="165" fontId="14" fillId="2" borderId="2" xfId="0" applyNumberFormat="1" applyFont="1" applyFill="1" applyBorder="1" applyAlignment="1">
      <alignment horizontal="left" vertical="center"/>
    </xf>
    <xf numFmtId="2" fontId="7" fillId="2" borderId="2" xfId="0" applyNumberFormat="1" applyFont="1" applyFill="1" applyBorder="1" applyAlignment="1">
      <alignment horizontal="center" vertical="center"/>
    </xf>
    <xf numFmtId="0" fontId="36" fillId="0" borderId="2" xfId="0" applyFont="1" applyBorder="1" applyAlignment="1">
      <alignment horizontal="center" vertical="center"/>
    </xf>
    <xf numFmtId="0" fontId="19" fillId="0" borderId="2" xfId="0" applyFont="1" applyFill="1" applyBorder="1" applyAlignment="1"/>
    <xf numFmtId="2" fontId="19" fillId="5" borderId="2" xfId="0" applyNumberFormat="1" applyFont="1" applyFill="1" applyBorder="1" applyAlignment="1"/>
    <xf numFmtId="2" fontId="19" fillId="0" borderId="2" xfId="0" applyNumberFormat="1" applyFont="1" applyFill="1" applyBorder="1" applyAlignment="1">
      <alignment horizontal="left"/>
    </xf>
    <xf numFmtId="0" fontId="21" fillId="0" borderId="1" xfId="0" applyFont="1" applyFill="1" applyBorder="1" applyAlignment="1"/>
    <xf numFmtId="0" fontId="14" fillId="2" borderId="2" xfId="0" applyFont="1" applyFill="1" applyBorder="1" applyAlignment="1">
      <alignment horizontal="center" vertical="center"/>
    </xf>
    <xf numFmtId="2" fontId="14" fillId="2" borderId="2" xfId="0" applyNumberFormat="1" applyFont="1" applyFill="1" applyBorder="1" applyAlignment="1">
      <alignment horizontal="center" vertical="center"/>
    </xf>
    <xf numFmtId="2" fontId="14" fillId="2" borderId="2" xfId="0" applyNumberFormat="1" applyFont="1" applyFill="1" applyBorder="1" applyAlignment="1">
      <alignment horizontal="left" vertical="center"/>
    </xf>
    <xf numFmtId="0" fontId="21" fillId="0" borderId="1" xfId="0" quotePrefix="1" applyFont="1" applyFill="1" applyBorder="1" applyAlignment="1">
      <alignment horizontal="left"/>
    </xf>
    <xf numFmtId="0" fontId="14" fillId="2" borderId="3" xfId="0" applyFont="1" applyFill="1" applyBorder="1" applyAlignment="1">
      <alignment horizontal="center" vertical="center"/>
    </xf>
    <xf numFmtId="2" fontId="14" fillId="2" borderId="3" xfId="0" applyNumberFormat="1" applyFont="1" applyFill="1" applyBorder="1" applyAlignment="1">
      <alignment horizontal="center" vertical="center"/>
    </xf>
    <xf numFmtId="2" fontId="14" fillId="2" borderId="3" xfId="0" applyNumberFormat="1" applyFont="1" applyFill="1" applyBorder="1" applyAlignment="1">
      <alignment horizontal="left" vertical="center"/>
    </xf>
    <xf numFmtId="2" fontId="7" fillId="2" borderId="3" xfId="0" applyNumberFormat="1" applyFont="1" applyFill="1" applyBorder="1" applyAlignment="1">
      <alignment horizontal="center" vertical="center"/>
    </xf>
    <xf numFmtId="1" fontId="36" fillId="0" borderId="2" xfId="0" applyNumberFormat="1" applyFont="1" applyBorder="1" applyAlignment="1">
      <alignment horizontal="center"/>
    </xf>
    <xf numFmtId="0" fontId="21" fillId="0" borderId="36" xfId="0" quotePrefix="1" applyFont="1" applyFill="1" applyBorder="1" applyAlignment="1">
      <alignment horizontal="left"/>
    </xf>
    <xf numFmtId="0" fontId="14" fillId="2" borderId="10" xfId="0" applyFont="1" applyFill="1" applyBorder="1" applyAlignment="1">
      <alignment horizontal="center" vertical="center"/>
    </xf>
    <xf numFmtId="2" fontId="14" fillId="2" borderId="10" xfId="0" applyNumberFormat="1" applyFont="1" applyFill="1" applyBorder="1" applyAlignment="1">
      <alignment horizontal="center" vertical="center"/>
    </xf>
    <xf numFmtId="2" fontId="14" fillId="2" borderId="10" xfId="0" applyNumberFormat="1" applyFont="1" applyFill="1" applyBorder="1" applyAlignment="1">
      <alignment horizontal="left" vertical="center"/>
    </xf>
    <xf numFmtId="2" fontId="7" fillId="2" borderId="10" xfId="0" applyNumberFormat="1" applyFont="1" applyFill="1" applyBorder="1" applyAlignment="1">
      <alignment horizontal="center" vertical="center"/>
    </xf>
    <xf numFmtId="2" fontId="23" fillId="2" borderId="6" xfId="0" applyNumberFormat="1" applyFont="1" applyFill="1" applyBorder="1" applyAlignment="1">
      <alignment horizontal="left" vertical="center"/>
    </xf>
    <xf numFmtId="0" fontId="7" fillId="2" borderId="6" xfId="0" applyFont="1" applyFill="1" applyBorder="1" applyAlignment="1">
      <alignment horizontal="center" vertical="center"/>
    </xf>
    <xf numFmtId="2" fontId="38" fillId="2" borderId="6" xfId="0" applyNumberFormat="1" applyFont="1" applyFill="1" applyBorder="1" applyAlignment="1">
      <alignment horizontal="center" vertical="center"/>
    </xf>
    <xf numFmtId="1" fontId="23" fillId="2" borderId="6" xfId="0" applyNumberFormat="1" applyFont="1" applyFill="1" applyBorder="1" applyAlignment="1">
      <alignment horizontal="center" vertical="center"/>
    </xf>
    <xf numFmtId="0" fontId="19" fillId="0" borderId="2" xfId="0" quotePrefix="1" applyFont="1" applyFill="1" applyBorder="1" applyAlignment="1">
      <alignment horizontal="left"/>
    </xf>
    <xf numFmtId="0" fontId="38" fillId="2" borderId="2" xfId="0" applyFont="1" applyFill="1" applyBorder="1" applyAlignment="1">
      <alignment horizontal="center" vertical="top" wrapText="1"/>
    </xf>
    <xf numFmtId="0" fontId="21" fillId="0" borderId="1" xfId="0" applyFont="1" applyFill="1" applyBorder="1" applyAlignment="1">
      <alignment horizontal="left"/>
    </xf>
    <xf numFmtId="0" fontId="23" fillId="2" borderId="2" xfId="0" applyFont="1" applyFill="1" applyBorder="1" applyAlignment="1">
      <alignment horizontal="left" vertical="center"/>
    </xf>
    <xf numFmtId="2" fontId="23" fillId="5" borderId="2" xfId="0" applyNumberFormat="1" applyFont="1" applyFill="1" applyBorder="1" applyAlignment="1">
      <alignment horizontal="left" vertical="center"/>
    </xf>
    <xf numFmtId="0" fontId="19" fillId="5" borderId="2" xfId="0" applyFont="1" applyFill="1" applyBorder="1" applyAlignment="1"/>
    <xf numFmtId="0" fontId="23" fillId="2" borderId="6" xfId="0" applyFont="1" applyFill="1" applyBorder="1" applyAlignment="1">
      <alignment vertical="top" wrapText="1"/>
    </xf>
    <xf numFmtId="0" fontId="21" fillId="0" borderId="37" xfId="0" applyFont="1" applyFill="1" applyBorder="1" applyAlignment="1"/>
    <xf numFmtId="0" fontId="14" fillId="2" borderId="7" xfId="0" applyFont="1" applyFill="1" applyBorder="1" applyAlignment="1">
      <alignment horizontal="center" vertical="center"/>
    </xf>
    <xf numFmtId="2" fontId="14" fillId="2" borderId="7" xfId="0" applyNumberFormat="1" applyFont="1" applyFill="1" applyBorder="1" applyAlignment="1">
      <alignment horizontal="center" vertical="center"/>
    </xf>
    <xf numFmtId="2" fontId="14" fillId="2" borderId="7" xfId="0" applyNumberFormat="1" applyFont="1" applyFill="1" applyBorder="1" applyAlignment="1">
      <alignment horizontal="left" vertical="center"/>
    </xf>
    <xf numFmtId="2" fontId="7" fillId="2" borderId="7" xfId="0" applyNumberFormat="1" applyFont="1" applyFill="1" applyBorder="1" applyAlignment="1">
      <alignment horizontal="center" vertical="center"/>
    </xf>
    <xf numFmtId="2" fontId="23" fillId="2" borderId="7" xfId="0" applyNumberFormat="1" applyFont="1" applyFill="1" applyBorder="1" applyAlignment="1">
      <alignment horizontal="left" vertical="center"/>
    </xf>
    <xf numFmtId="164" fontId="38" fillId="2" borderId="2" xfId="0" applyNumberFormat="1" applyFont="1" applyFill="1" applyBorder="1" applyAlignment="1">
      <alignment horizontal="center" vertical="center"/>
    </xf>
    <xf numFmtId="0" fontId="7" fillId="2" borderId="14" xfId="0" applyFont="1" applyFill="1" applyBorder="1" applyAlignment="1">
      <alignment vertical="top" wrapText="1"/>
    </xf>
    <xf numFmtId="0" fontId="19" fillId="2" borderId="2" xfId="0" applyFont="1" applyFill="1" applyBorder="1" applyAlignment="1">
      <alignment horizontal="center" vertical="center"/>
    </xf>
    <xf numFmtId="2" fontId="19" fillId="5" borderId="2" xfId="0" applyNumberFormat="1" applyFont="1" applyFill="1" applyBorder="1" applyAlignment="1">
      <alignment horizontal="center" vertical="center"/>
    </xf>
    <xf numFmtId="2" fontId="19" fillId="2" borderId="2" xfId="0" applyNumberFormat="1" applyFont="1" applyFill="1" applyBorder="1" applyAlignment="1">
      <alignment horizontal="left" vertical="center"/>
    </xf>
    <xf numFmtId="0" fontId="21" fillId="0" borderId="2" xfId="0" applyFont="1" applyFill="1" applyBorder="1" applyAlignment="1">
      <alignment wrapText="1"/>
    </xf>
    <xf numFmtId="0" fontId="7" fillId="2" borderId="5" xfId="0" applyFont="1" applyFill="1" applyBorder="1" applyAlignment="1">
      <alignment horizontal="center" vertical="top" wrapText="1"/>
    </xf>
    <xf numFmtId="0" fontId="7" fillId="2" borderId="2" xfId="0" applyFont="1" applyFill="1" applyBorder="1" applyAlignment="1">
      <alignment vertical="top" wrapText="1"/>
    </xf>
    <xf numFmtId="2" fontId="19" fillId="0" borderId="2" xfId="0" applyNumberFormat="1" applyFont="1" applyFill="1" applyBorder="1" applyAlignment="1"/>
    <xf numFmtId="0" fontId="21" fillId="0" borderId="38" xfId="0" applyFont="1" applyFill="1" applyBorder="1" applyAlignment="1"/>
    <xf numFmtId="0" fontId="23" fillId="2" borderId="7" xfId="0" applyFont="1" applyFill="1" applyBorder="1" applyAlignment="1">
      <alignment horizontal="center" vertical="center"/>
    </xf>
    <xf numFmtId="2" fontId="23" fillId="2" borderId="7" xfId="0" applyNumberFormat="1" applyFont="1" applyFill="1" applyBorder="1" applyAlignment="1">
      <alignment horizontal="center" vertical="center"/>
    </xf>
    <xf numFmtId="0" fontId="23" fillId="2" borderId="7" xfId="0" applyFont="1" applyFill="1" applyBorder="1" applyAlignment="1">
      <alignment horizontal="left" vertical="center"/>
    </xf>
    <xf numFmtId="0" fontId="19" fillId="0" borderId="2" xfId="0" applyFont="1" applyFill="1" applyBorder="1" applyAlignment="1">
      <alignment horizontal="center" vertical="center"/>
    </xf>
    <xf numFmtId="0" fontId="7" fillId="2" borderId="2" xfId="0" applyFont="1" applyFill="1" applyBorder="1" applyAlignment="1">
      <alignment vertical="center" wrapText="1"/>
    </xf>
    <xf numFmtId="1" fontId="7" fillId="2" borderId="2" xfId="0" applyNumberFormat="1" applyFont="1" applyFill="1" applyBorder="1" applyAlignment="1">
      <alignment horizontal="left" vertical="center" wrapText="1"/>
    </xf>
    <xf numFmtId="0" fontId="25" fillId="2" borderId="2" xfId="0" applyFont="1" applyFill="1" applyBorder="1" applyAlignment="1">
      <alignment horizontal="center" vertical="center" wrapText="1"/>
    </xf>
    <xf numFmtId="2" fontId="26" fillId="2" borderId="2" xfId="0" applyNumberFormat="1" applyFont="1" applyFill="1" applyBorder="1" applyAlignment="1">
      <alignment horizontal="center" vertical="center" wrapText="1"/>
    </xf>
    <xf numFmtId="1" fontId="23" fillId="2" borderId="2" xfId="0" applyNumberFormat="1" applyFont="1" applyFill="1" applyBorder="1" applyAlignment="1">
      <alignment horizontal="center" vertical="center" wrapText="1"/>
    </xf>
    <xf numFmtId="1" fontId="7" fillId="2" borderId="2" xfId="0" applyNumberFormat="1" applyFont="1" applyFill="1" applyBorder="1" applyAlignment="1">
      <alignment horizontal="left" vertical="center"/>
    </xf>
    <xf numFmtId="0" fontId="25" fillId="2" borderId="2" xfId="0" applyFont="1" applyFill="1" applyBorder="1" applyAlignment="1">
      <alignment horizontal="center" vertical="center"/>
    </xf>
    <xf numFmtId="2" fontId="26" fillId="2" borderId="2" xfId="0" applyNumberFormat="1" applyFont="1" applyFill="1" applyBorder="1" applyAlignment="1">
      <alignment horizontal="center" vertical="center"/>
    </xf>
    <xf numFmtId="0" fontId="23" fillId="2" borderId="7" xfId="0" applyFont="1" applyFill="1" applyBorder="1" applyAlignment="1">
      <alignment horizontal="center"/>
    </xf>
    <xf numFmtId="0" fontId="23" fillId="2" borderId="7" xfId="0" applyFont="1" applyFill="1" applyBorder="1"/>
    <xf numFmtId="0" fontId="7" fillId="2" borderId="5"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horizontal="left" vertical="center" wrapText="1"/>
    </xf>
    <xf numFmtId="0" fontId="7" fillId="2" borderId="7" xfId="0" applyFont="1" applyFill="1" applyBorder="1" applyAlignment="1">
      <alignment vertical="center" wrapText="1"/>
    </xf>
    <xf numFmtId="0" fontId="7" fillId="2" borderId="7" xfId="0" applyFont="1" applyFill="1" applyBorder="1" applyAlignment="1">
      <alignment horizontal="center" vertical="center" wrapText="1"/>
    </xf>
    <xf numFmtId="1" fontId="23" fillId="2" borderId="7" xfId="0" applyNumberFormat="1" applyFont="1" applyFill="1" applyBorder="1" applyAlignment="1">
      <alignment horizontal="center" vertical="top" wrapText="1"/>
    </xf>
    <xf numFmtId="0" fontId="36" fillId="0" borderId="7" xfId="0" applyFont="1" applyBorder="1" applyAlignment="1">
      <alignment horizontal="center" vertical="center"/>
    </xf>
    <xf numFmtId="0" fontId="23" fillId="2" borderId="2" xfId="0" applyFont="1" applyFill="1" applyBorder="1"/>
    <xf numFmtId="0" fontId="27" fillId="2" borderId="2" xfId="0" applyFont="1" applyFill="1" applyBorder="1" applyAlignment="1">
      <alignment horizontal="center" vertical="center"/>
    </xf>
    <xf numFmtId="2" fontId="27" fillId="2" borderId="2" xfId="0" applyNumberFormat="1" applyFont="1" applyFill="1" applyBorder="1" applyAlignment="1">
      <alignment horizontal="left" vertical="center"/>
    </xf>
    <xf numFmtId="0" fontId="7" fillId="2" borderId="2" xfId="0" applyFont="1" applyFill="1" applyBorder="1" applyAlignment="1">
      <alignment horizontal="left" vertical="top" wrapText="1"/>
    </xf>
    <xf numFmtId="1" fontId="23" fillId="2" borderId="2" xfId="0" applyNumberFormat="1" applyFont="1" applyFill="1" applyBorder="1" applyAlignment="1">
      <alignment horizontal="center" vertical="top"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2"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left" vertical="center"/>
    </xf>
    <xf numFmtId="2" fontId="7"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14" fillId="0" borderId="0" xfId="0" applyFont="1" applyFill="1" applyAlignment="1">
      <alignment horizontal="center"/>
    </xf>
    <xf numFmtId="2" fontId="23" fillId="0" borderId="0" xfId="0" applyNumberFormat="1" applyFont="1" applyFill="1" applyBorder="1" applyAlignment="1">
      <alignment vertical="center"/>
    </xf>
    <xf numFmtId="1" fontId="23" fillId="0" borderId="5" xfId="0" applyNumberFormat="1" applyFont="1" applyFill="1" applyBorder="1" applyAlignment="1">
      <alignment vertical="center"/>
    </xf>
    <xf numFmtId="1" fontId="23" fillId="0" borderId="4" xfId="0" applyNumberFormat="1" applyFont="1" applyFill="1" applyBorder="1" applyAlignment="1">
      <alignment vertical="center"/>
    </xf>
    <xf numFmtId="1" fontId="23" fillId="0" borderId="2" xfId="0" applyNumberFormat="1" applyFont="1" applyFill="1" applyBorder="1" applyAlignment="1">
      <alignment vertical="center"/>
    </xf>
    <xf numFmtId="0" fontId="14" fillId="0" borderId="2" xfId="0" applyFont="1" applyFill="1" applyBorder="1" applyAlignment="1">
      <alignment horizontal="center" vertical="center"/>
    </xf>
    <xf numFmtId="0" fontId="23" fillId="0" borderId="0" xfId="0" applyFont="1" applyFill="1" applyBorder="1" applyAlignment="1">
      <alignment vertical="center"/>
    </xf>
    <xf numFmtId="0" fontId="23" fillId="0" borderId="2" xfId="0" applyFont="1" applyFill="1" applyBorder="1" applyAlignment="1">
      <alignment vertical="center"/>
    </xf>
    <xf numFmtId="0" fontId="0" fillId="3" borderId="39" xfId="0" applyFill="1" applyBorder="1"/>
    <xf numFmtId="0" fontId="0" fillId="3" borderId="40" xfId="0" applyFill="1" applyBorder="1"/>
    <xf numFmtId="0" fontId="0" fillId="3" borderId="41" xfId="0" applyFill="1" applyBorder="1"/>
    <xf numFmtId="0" fontId="0" fillId="3" borderId="42" xfId="0" applyFill="1" applyBorder="1"/>
    <xf numFmtId="0" fontId="0" fillId="3" borderId="43" xfId="0" applyFill="1" applyBorder="1"/>
    <xf numFmtId="0" fontId="0" fillId="3" borderId="44" xfId="0" applyFill="1" applyBorder="1"/>
    <xf numFmtId="0" fontId="0" fillId="3" borderId="45" xfId="0" applyFill="1" applyBorder="1"/>
    <xf numFmtId="0" fontId="0" fillId="3" borderId="46" xfId="0" applyFill="1" applyBorder="1"/>
    <xf numFmtId="0" fontId="0" fillId="3" borderId="47" xfId="0" applyFill="1" applyBorder="1"/>
    <xf numFmtId="0" fontId="0" fillId="3" borderId="48" xfId="0" applyFill="1" applyBorder="1"/>
    <xf numFmtId="0" fontId="0" fillId="3" borderId="49" xfId="0" applyFill="1" applyBorder="1"/>
    <xf numFmtId="2" fontId="0" fillId="3" borderId="43" xfId="0" applyNumberFormat="1" applyFill="1" applyBorder="1" applyAlignment="1"/>
    <xf numFmtId="0" fontId="0" fillId="3" borderId="50" xfId="0" applyFill="1" applyBorder="1"/>
    <xf numFmtId="0" fontId="0" fillId="3" borderId="51" xfId="0" applyFill="1" applyBorder="1"/>
    <xf numFmtId="0" fontId="0" fillId="3" borderId="52" xfId="0" applyFill="1" applyBorder="1"/>
    <xf numFmtId="0" fontId="17" fillId="0" borderId="53" xfId="0" applyFont="1" applyFill="1" applyBorder="1" applyAlignment="1">
      <alignment vertical="top"/>
    </xf>
    <xf numFmtId="0" fontId="17" fillId="0" borderId="54" xfId="0" applyFont="1" applyFill="1" applyBorder="1" applyAlignment="1">
      <alignment vertical="top"/>
    </xf>
    <xf numFmtId="0" fontId="0" fillId="6" borderId="2" xfId="0" applyFont="1" applyFill="1" applyBorder="1"/>
    <xf numFmtId="0" fontId="1" fillId="6" borderId="2" xfId="0" applyFont="1" applyFill="1" applyBorder="1"/>
    <xf numFmtId="164" fontId="1" fillId="6" borderId="2" xfId="0" applyNumberFormat="1" applyFont="1" applyFill="1" applyBorder="1"/>
    <xf numFmtId="0" fontId="0" fillId="3" borderId="0" xfId="0" applyFont="1" applyFill="1"/>
    <xf numFmtId="2" fontId="0" fillId="3" borderId="0" xfId="0" applyNumberFormat="1" applyFont="1" applyFill="1"/>
    <xf numFmtId="0" fontId="39" fillId="3" borderId="0" xfId="0" applyFont="1" applyFill="1"/>
    <xf numFmtId="0" fontId="0" fillId="0" borderId="2" xfId="0" applyFill="1" applyBorder="1"/>
    <xf numFmtId="0" fontId="1" fillId="0" borderId="2" xfId="0" applyFont="1" applyFill="1" applyBorder="1" applyAlignment="1">
      <alignment horizontal="center"/>
    </xf>
    <xf numFmtId="0" fontId="0" fillId="0" borderId="2" xfId="0" applyFill="1" applyBorder="1" applyAlignment="1">
      <alignment horizontal="center"/>
    </xf>
    <xf numFmtId="164" fontId="0" fillId="0" borderId="2" xfId="0" applyNumberFormat="1" applyFill="1" applyBorder="1" applyAlignment="1">
      <alignment horizontal="center"/>
    </xf>
    <xf numFmtId="0" fontId="1" fillId="0" borderId="2" xfId="0" applyFont="1" applyFill="1" applyBorder="1"/>
    <xf numFmtId="0" fontId="0" fillId="0" borderId="2" xfId="0" applyFill="1" applyBorder="1" applyAlignment="1">
      <alignment wrapText="1"/>
    </xf>
    <xf numFmtId="0" fontId="1" fillId="5" borderId="2" xfId="0" applyFont="1" applyFill="1" applyBorder="1" applyAlignment="1" applyProtection="1">
      <alignment horizontal="center"/>
      <protection locked="0"/>
    </xf>
    <xf numFmtId="0" fontId="0" fillId="5" borderId="2" xfId="0" applyFill="1" applyBorder="1" applyAlignment="1" applyProtection="1">
      <alignment horizontal="center"/>
      <protection locked="0"/>
    </xf>
    <xf numFmtId="9" fontId="0" fillId="5" borderId="2" xfId="0" applyNumberFormat="1" applyFill="1" applyBorder="1" applyAlignment="1" applyProtection="1">
      <alignment horizontal="center"/>
      <protection locked="0"/>
    </xf>
    <xf numFmtId="164" fontId="0" fillId="3" borderId="0" xfId="0" applyNumberFormat="1" applyFont="1" applyFill="1"/>
    <xf numFmtId="0" fontId="0" fillId="0" borderId="5" xfId="0" applyFill="1" applyBorder="1"/>
    <xf numFmtId="0" fontId="0" fillId="0" borderId="3" xfId="0" applyFill="1" applyBorder="1"/>
    <xf numFmtId="165" fontId="19" fillId="0" borderId="1" xfId="0" applyNumberFormat="1" applyFont="1" applyFill="1" applyBorder="1" applyAlignment="1"/>
    <xf numFmtId="49" fontId="1" fillId="0" borderId="8" xfId="0" quotePrefix="1" applyNumberFormat="1" applyFont="1" applyBorder="1" applyAlignment="1"/>
    <xf numFmtId="0" fontId="1" fillId="0" borderId="8" xfId="0" applyFont="1" applyBorder="1"/>
    <xf numFmtId="49" fontId="1" fillId="0" borderId="8" xfId="0" quotePrefix="1" applyNumberFormat="1" applyFont="1" applyBorder="1" applyAlignment="1">
      <alignment horizontal="center"/>
    </xf>
    <xf numFmtId="0" fontId="0" fillId="0" borderId="8" xfId="0" applyBorder="1"/>
    <xf numFmtId="1" fontId="0" fillId="0" borderId="2" xfId="0" applyNumberFormat="1" applyBorder="1"/>
    <xf numFmtId="0" fontId="31" fillId="0" borderId="7" xfId="0" applyFont="1" applyBorder="1" applyAlignment="1">
      <alignment wrapText="1"/>
    </xf>
    <xf numFmtId="0" fontId="31" fillId="0" borderId="7" xfId="0" quotePrefix="1" applyFont="1" applyBorder="1" applyAlignment="1">
      <alignment horizontal="left" wrapText="1"/>
    </xf>
    <xf numFmtId="0" fontId="31" fillId="0" borderId="7" xfId="0" applyFont="1" applyBorder="1" applyAlignment="1">
      <alignment horizontal="left" wrapText="1"/>
    </xf>
    <xf numFmtId="0" fontId="31" fillId="0" borderId="0" xfId="0" applyFont="1"/>
    <xf numFmtId="0" fontId="0" fillId="3" borderId="1" xfId="0" applyFill="1" applyBorder="1" applyAlignment="1">
      <alignment horizontal="left" wrapText="1"/>
    </xf>
    <xf numFmtId="0" fontId="1" fillId="0" borderId="2" xfId="0" applyFont="1" applyFill="1" applyBorder="1" applyAlignment="1">
      <alignment horizontal="center" vertical="center"/>
    </xf>
    <xf numFmtId="0" fontId="1" fillId="0" borderId="0" xfId="0" applyFont="1" applyAlignment="1">
      <alignment wrapText="1"/>
    </xf>
    <xf numFmtId="49" fontId="1" fillId="3" borderId="55" xfId="0" quotePrefix="1" applyNumberFormat="1" applyFont="1" applyFill="1" applyBorder="1" applyAlignment="1">
      <alignment horizontal="right"/>
    </xf>
    <xf numFmtId="0" fontId="45" fillId="0" borderId="0" xfId="0" applyFont="1" applyAlignment="1">
      <alignment horizontal="left" wrapText="1"/>
    </xf>
    <xf numFmtId="0" fontId="0" fillId="0" borderId="0" xfId="0" applyAlignment="1">
      <alignment horizontal="center"/>
    </xf>
    <xf numFmtId="0" fontId="48" fillId="3" borderId="1" xfId="0" applyFont="1" applyFill="1" applyBorder="1" applyAlignment="1">
      <alignment horizontal="left"/>
    </xf>
    <xf numFmtId="0" fontId="49" fillId="0" borderId="0" xfId="0" applyFont="1" applyFill="1" applyBorder="1"/>
    <xf numFmtId="0" fontId="50" fillId="0" borderId="0" xfId="0" applyFont="1" applyFill="1" applyBorder="1"/>
    <xf numFmtId="0" fontId="51" fillId="0" borderId="0" xfId="0" applyFont="1" applyFill="1" applyBorder="1" applyAlignment="1">
      <alignment horizontal="left" vertical="center" wrapText="1"/>
    </xf>
    <xf numFmtId="1" fontId="52" fillId="0" borderId="0" xfId="0" applyNumberFormat="1" applyFont="1" applyFill="1" applyBorder="1" applyAlignment="1">
      <alignment vertical="center"/>
    </xf>
    <xf numFmtId="0" fontId="53" fillId="0" borderId="0" xfId="0" applyFont="1" applyFill="1" applyBorder="1" applyAlignment="1">
      <alignment horizontal="center" vertical="center"/>
    </xf>
    <xf numFmtId="0" fontId="52" fillId="0" borderId="0" xfId="0" applyFont="1" applyFill="1" applyBorder="1" applyAlignment="1">
      <alignment vertical="center"/>
    </xf>
    <xf numFmtId="0" fontId="41" fillId="0" borderId="0" xfId="0" applyFont="1" applyFill="1" applyBorder="1" applyAlignment="1">
      <alignment vertical="center" wrapText="1"/>
    </xf>
    <xf numFmtId="0" fontId="43" fillId="0" borderId="0" xfId="0" applyFont="1" applyFill="1" applyBorder="1"/>
    <xf numFmtId="0" fontId="43" fillId="0" borderId="0" xfId="0" applyFont="1" applyFill="1" applyBorder="1" applyAlignment="1">
      <alignment wrapText="1"/>
    </xf>
    <xf numFmtId="0" fontId="40" fillId="0" borderId="0" xfId="0" applyFont="1" applyFill="1" applyBorder="1" applyAlignment="1">
      <alignment wrapText="1"/>
    </xf>
    <xf numFmtId="0" fontId="33" fillId="0" borderId="0" xfId="0" applyFont="1" applyFill="1" applyBorder="1"/>
    <xf numFmtId="165" fontId="0" fillId="0" borderId="0" xfId="0" applyNumberFormat="1" applyFill="1" applyBorder="1"/>
    <xf numFmtId="0" fontId="1" fillId="0" borderId="0" xfId="0" applyFont="1" applyFill="1" applyBorder="1" applyAlignment="1"/>
    <xf numFmtId="165" fontId="1" fillId="0" borderId="0" xfId="0" applyNumberFormat="1" applyFont="1" applyFill="1" applyBorder="1"/>
    <xf numFmtId="0" fontId="30" fillId="0" borderId="0" xfId="0" applyFont="1" applyFill="1" applyAlignment="1">
      <alignment vertical="center" wrapText="1"/>
    </xf>
    <xf numFmtId="49" fontId="1" fillId="0" borderId="2" xfId="0" quotePrefix="1" applyNumberFormat="1" applyFont="1" applyBorder="1" applyAlignment="1">
      <alignment horizontal="right"/>
    </xf>
    <xf numFmtId="0" fontId="0" fillId="3" borderId="1" xfId="0" applyFont="1" applyFill="1" applyBorder="1" applyAlignment="1">
      <alignment horizontal="left"/>
    </xf>
    <xf numFmtId="0" fontId="2" fillId="3" borderId="0" xfId="0" applyFont="1" applyFill="1" applyAlignment="1">
      <alignment wrapText="1"/>
    </xf>
    <xf numFmtId="0" fontId="0" fillId="3" borderId="0" xfId="0" applyFont="1" applyFill="1" applyAlignment="1">
      <alignment vertical="top" wrapText="1"/>
    </xf>
    <xf numFmtId="2" fontId="2" fillId="3" borderId="0" xfId="0" applyNumberFormat="1" applyFont="1" applyFill="1"/>
    <xf numFmtId="2" fontId="47" fillId="0" borderId="2" xfId="0" applyNumberFormat="1" applyFont="1" applyBorder="1"/>
    <xf numFmtId="0" fontId="40" fillId="8" borderId="56" xfId="0" applyFont="1" applyFill="1" applyBorder="1"/>
    <xf numFmtId="1" fontId="40" fillId="8" borderId="57" xfId="0" applyNumberFormat="1" applyFont="1" applyFill="1" applyBorder="1" applyProtection="1">
      <protection locked="0"/>
    </xf>
    <xf numFmtId="0" fontId="40" fillId="8" borderId="58" xfId="0" applyFont="1" applyFill="1" applyBorder="1"/>
    <xf numFmtId="1" fontId="40" fillId="8" borderId="59" xfId="0" applyNumberFormat="1" applyFont="1" applyFill="1" applyBorder="1" applyProtection="1">
      <protection locked="0"/>
    </xf>
    <xf numFmtId="0" fontId="40" fillId="8" borderId="60" xfId="0" applyFont="1" applyFill="1" applyBorder="1"/>
    <xf numFmtId="1" fontId="40" fillId="8" borderId="61" xfId="0" applyNumberFormat="1" applyFont="1" applyFill="1" applyBorder="1"/>
    <xf numFmtId="9" fontId="40" fillId="8" borderId="57" xfId="3" applyFont="1" applyFill="1" applyBorder="1" applyProtection="1">
      <protection locked="0"/>
    </xf>
    <xf numFmtId="9" fontId="40" fillId="8" borderId="59" xfId="3" applyFont="1" applyFill="1" applyBorder="1" applyProtection="1">
      <protection locked="0"/>
    </xf>
    <xf numFmtId="9" fontId="40" fillId="8" borderId="61" xfId="3" applyFont="1" applyFill="1" applyBorder="1"/>
    <xf numFmtId="0" fontId="1" fillId="3" borderId="0" xfId="0" applyFont="1" applyFill="1" applyAlignment="1"/>
    <xf numFmtId="0" fontId="0" fillId="5" borderId="2" xfId="0" applyFill="1" applyBorder="1" applyAlignment="1" applyProtection="1">
      <alignment horizontal="center" vertical="center"/>
      <protection locked="0"/>
    </xf>
    <xf numFmtId="167" fontId="0" fillId="5" borderId="2" xfId="0" applyNumberFormat="1" applyFill="1" applyBorder="1" applyAlignment="1" applyProtection="1">
      <alignment horizontal="center" vertical="center"/>
      <protection locked="0"/>
    </xf>
    <xf numFmtId="1" fontId="0" fillId="5" borderId="2" xfId="0" applyNumberFormat="1" applyFill="1" applyBorder="1" applyAlignment="1">
      <alignment horizontal="center" vertical="center"/>
    </xf>
    <xf numFmtId="0" fontId="0" fillId="5" borderId="2" xfId="0" applyFill="1" applyBorder="1" applyProtection="1">
      <protection locked="0"/>
    </xf>
    <xf numFmtId="2" fontId="0" fillId="5" borderId="2" xfId="0" applyNumberFormat="1" applyFill="1" applyBorder="1" applyProtection="1">
      <protection locked="0"/>
    </xf>
    <xf numFmtId="1" fontId="0" fillId="5" borderId="2" xfId="0" applyNumberFormat="1" applyFill="1" applyBorder="1" applyProtection="1">
      <protection locked="0"/>
    </xf>
    <xf numFmtId="0" fontId="1" fillId="0" borderId="0" xfId="0" applyFont="1"/>
    <xf numFmtId="0" fontId="2" fillId="3" borderId="0" xfId="0" applyFont="1" applyFill="1" applyAlignment="1"/>
    <xf numFmtId="0" fontId="2" fillId="3" borderId="0" xfId="0" applyFont="1" applyFill="1" applyBorder="1" applyAlignment="1"/>
    <xf numFmtId="0" fontId="0" fillId="3" borderId="0" xfId="0" applyFont="1" applyFill="1" applyBorder="1"/>
    <xf numFmtId="0" fontId="0" fillId="3" borderId="0" xfId="0" applyFont="1" applyFill="1" applyBorder="1" applyAlignment="1">
      <alignment horizontal="left"/>
    </xf>
    <xf numFmtId="2"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2" xfId="0" applyNumberFormat="1" applyFont="1" applyFill="1" applyBorder="1" applyAlignment="1">
      <alignment horizontal="center" vertical="center"/>
    </xf>
    <xf numFmtId="0" fontId="7" fillId="0" borderId="0" xfId="0" applyFont="1" applyFill="1"/>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xf>
    <xf numFmtId="0" fontId="6" fillId="0" borderId="2" xfId="0" applyFont="1" applyFill="1" applyBorder="1" applyAlignment="1">
      <alignment horizontal="center" vertical="top" wrapText="1"/>
    </xf>
    <xf numFmtId="0" fontId="10" fillId="0" borderId="2" xfId="0" applyFont="1" applyFill="1" applyBorder="1" applyAlignment="1">
      <alignment horizontal="center"/>
    </xf>
    <xf numFmtId="0" fontId="37"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2" fontId="6"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2" fontId="6" fillId="0" borderId="2" xfId="0" applyNumberFormat="1" applyFont="1" applyFill="1" applyBorder="1" applyAlignment="1" applyProtection="1">
      <alignment horizontal="center" vertical="center"/>
      <protection locked="0"/>
    </xf>
    <xf numFmtId="1" fontId="6" fillId="0" borderId="2"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0" fontId="6" fillId="0" borderId="2" xfId="0" applyFont="1" applyFill="1" applyBorder="1" applyAlignment="1">
      <alignment horizontal="center" vertical="top"/>
    </xf>
    <xf numFmtId="165" fontId="8" fillId="0" borderId="2"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0" fontId="8" fillId="0" borderId="2" xfId="0" applyFont="1" applyFill="1" applyBorder="1" applyAlignment="1">
      <alignment horizontal="left" vertical="top" wrapText="1"/>
    </xf>
    <xf numFmtId="165" fontId="6" fillId="0" borderId="2" xfId="0" applyNumberFormat="1" applyFont="1" applyFill="1" applyBorder="1" applyAlignment="1">
      <alignment horizontal="left" vertical="center"/>
    </xf>
    <xf numFmtId="165" fontId="6" fillId="0" borderId="2" xfId="0" applyNumberFormat="1" applyFont="1" applyFill="1" applyBorder="1" applyAlignment="1">
      <alignment horizontal="center" vertical="center"/>
    </xf>
    <xf numFmtId="0" fontId="4" fillId="0" borderId="2" xfId="0" applyFont="1" applyFill="1" applyBorder="1" applyAlignment="1">
      <alignment horizontal="center" vertical="top"/>
    </xf>
    <xf numFmtId="2" fontId="8" fillId="0" borderId="2" xfId="0" applyNumberFormat="1" applyFont="1" applyFill="1" applyBorder="1" applyAlignment="1">
      <alignment horizontal="left" vertical="center"/>
    </xf>
    <xf numFmtId="2" fontId="4" fillId="0" borderId="3"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4" fillId="0" borderId="2" xfId="0" applyFont="1" applyFill="1" applyBorder="1" applyAlignment="1">
      <alignment vertical="top" wrapText="1"/>
    </xf>
    <xf numFmtId="0" fontId="6" fillId="0" borderId="2" xfId="0" applyFont="1" applyFill="1" applyBorder="1" applyAlignment="1">
      <alignment horizontal="left" vertical="top" wrapText="1"/>
    </xf>
    <xf numFmtId="1" fontId="6" fillId="0" borderId="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0" fontId="6" fillId="0" borderId="2" xfId="0" applyFont="1" applyFill="1" applyBorder="1" applyAlignment="1">
      <alignment vertical="top" wrapText="1"/>
    </xf>
    <xf numFmtId="0" fontId="6" fillId="0" borderId="3" xfId="0" applyFont="1" applyFill="1" applyBorder="1" applyAlignment="1">
      <alignment horizontal="center" vertical="center"/>
    </xf>
    <xf numFmtId="2" fontId="57" fillId="0" borderId="2" xfId="0" applyNumberFormat="1" applyFont="1" applyFill="1" applyBorder="1" applyAlignment="1" applyProtection="1">
      <alignment horizontal="center" vertical="center"/>
      <protection locked="0"/>
    </xf>
    <xf numFmtId="1" fontId="6" fillId="0" borderId="2" xfId="0" applyNumberFormat="1" applyFont="1" applyFill="1" applyBorder="1" applyAlignment="1">
      <alignment horizontal="center"/>
    </xf>
    <xf numFmtId="0" fontId="23" fillId="0" borderId="0" xfId="0" applyFont="1" applyFill="1" applyAlignment="1">
      <alignment horizontal="center"/>
    </xf>
    <xf numFmtId="2" fontId="6" fillId="0" borderId="0" xfId="0" applyNumberFormat="1" applyFont="1" applyFill="1" applyBorder="1" applyAlignment="1">
      <alignment horizontal="center" vertical="center"/>
    </xf>
    <xf numFmtId="0" fontId="6" fillId="0" borderId="5"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 xfId="0" applyFont="1" applyFill="1" applyBorder="1" applyAlignment="1">
      <alignment vertical="center" wrapText="1"/>
    </xf>
    <xf numFmtId="0" fontId="4" fillId="0" borderId="2" xfId="0" applyFont="1" applyFill="1" applyBorder="1" applyAlignment="1">
      <alignment horizontal="center" vertical="top" wrapText="1"/>
    </xf>
    <xf numFmtId="0" fontId="10" fillId="0" borderId="2" xfId="0" applyFont="1" applyFill="1" applyBorder="1" applyAlignment="1">
      <alignment horizontal="center" vertical="top" wrapText="1"/>
    </xf>
    <xf numFmtId="2" fontId="10" fillId="0" borderId="2" xfId="0" applyNumberFormat="1" applyFont="1" applyFill="1" applyBorder="1" applyAlignment="1">
      <alignment horizontal="center" vertical="center"/>
    </xf>
    <xf numFmtId="0" fontId="22" fillId="0" borderId="0" xfId="0" applyFont="1" applyFill="1"/>
    <xf numFmtId="1" fontId="10" fillId="0"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2" fontId="12" fillId="0" borderId="2" xfId="0" applyNumberFormat="1" applyFont="1" applyFill="1" applyBorder="1" applyAlignment="1">
      <alignment horizontal="center" vertical="center" wrapText="1"/>
    </xf>
    <xf numFmtId="1" fontId="6" fillId="0" borderId="2" xfId="0" applyNumberFormat="1" applyFont="1" applyFill="1" applyBorder="1" applyAlignment="1" applyProtection="1">
      <alignment horizontal="center" vertical="center" wrapText="1"/>
      <protection locked="0"/>
    </xf>
    <xf numFmtId="1" fontId="6"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2" fontId="12" fillId="0" borderId="2" xfId="0" applyNumberFormat="1" applyFont="1" applyFill="1" applyBorder="1" applyAlignment="1">
      <alignment horizontal="center" vertical="center"/>
    </xf>
    <xf numFmtId="1" fontId="6" fillId="0" borderId="2" xfId="0" applyNumberFormat="1" applyFont="1" applyFill="1" applyBorder="1" applyAlignment="1" applyProtection="1">
      <alignment horizontal="center" vertical="center"/>
      <protection locked="0"/>
    </xf>
    <xf numFmtId="0" fontId="6" fillId="0" borderId="7" xfId="0" applyFont="1" applyFill="1" applyBorder="1"/>
    <xf numFmtId="9" fontId="55" fillId="0" borderId="7" xfId="0" applyNumberFormat="1" applyFont="1" applyFill="1" applyBorder="1" applyAlignment="1">
      <alignment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1" fontId="6" fillId="0" borderId="7" xfId="0" applyNumberFormat="1" applyFont="1" applyFill="1" applyBorder="1" applyAlignment="1">
      <alignment horizontal="center" vertical="top" wrapText="1"/>
    </xf>
    <xf numFmtId="0" fontId="6" fillId="0" borderId="7" xfId="0" applyFont="1" applyFill="1" applyBorder="1" applyAlignment="1">
      <alignment horizontal="center" vertical="center"/>
    </xf>
    <xf numFmtId="0" fontId="6" fillId="0" borderId="2" xfId="0" applyFont="1" applyFill="1" applyBorder="1"/>
    <xf numFmtId="0" fontId="13" fillId="0" borderId="2" xfId="0" applyFont="1" applyFill="1" applyBorder="1" applyAlignment="1">
      <alignment horizontal="center" vertical="center"/>
    </xf>
    <xf numFmtId="2" fontId="13" fillId="0" borderId="2" xfId="0" applyNumberFormat="1" applyFont="1" applyFill="1" applyBorder="1" applyAlignment="1">
      <alignment horizontal="left" vertical="center"/>
    </xf>
    <xf numFmtId="1" fontId="10" fillId="0" borderId="2" xfId="0" applyNumberFormat="1" applyFont="1" applyFill="1" applyBorder="1" applyAlignment="1">
      <alignment horizontal="center" vertical="top" wrapText="1"/>
    </xf>
    <xf numFmtId="0" fontId="6" fillId="0" borderId="0" xfId="0" applyFont="1" applyFill="1" applyBorder="1" applyAlignment="1">
      <alignment horizontal="center"/>
    </xf>
    <xf numFmtId="0" fontId="23" fillId="0" borderId="0" xfId="0" applyFont="1" applyFill="1" applyBorder="1" applyAlignment="1">
      <alignment horizontal="center"/>
    </xf>
    <xf numFmtId="0" fontId="2" fillId="3" borderId="55" xfId="0" applyFont="1" applyFill="1" applyBorder="1" applyAlignment="1">
      <alignment horizontal="left" vertical="center"/>
    </xf>
    <xf numFmtId="164" fontId="58" fillId="0" borderId="2" xfId="0" applyNumberFormat="1" applyFont="1" applyFill="1" applyBorder="1" applyAlignment="1">
      <alignment vertical="center"/>
    </xf>
    <xf numFmtId="165" fontId="8" fillId="0" borderId="3" xfId="0" applyNumberFormat="1" applyFont="1" applyFill="1" applyBorder="1" applyAlignment="1">
      <alignment horizontal="center" vertical="center"/>
    </xf>
    <xf numFmtId="2" fontId="6" fillId="0" borderId="3" xfId="0" applyNumberFormat="1" applyFont="1" applyFill="1" applyBorder="1" applyAlignment="1" applyProtection="1">
      <alignment horizontal="center" vertical="center"/>
      <protection locked="0"/>
    </xf>
    <xf numFmtId="0" fontId="0" fillId="0" borderId="0" xfId="0" applyAlignment="1">
      <alignment horizontal="center" vertical="center" wrapText="1"/>
    </xf>
    <xf numFmtId="0" fontId="4" fillId="0" borderId="3" xfId="0" applyFont="1" applyFill="1" applyBorder="1" applyAlignment="1">
      <alignment horizontal="center" vertical="center"/>
    </xf>
    <xf numFmtId="165" fontId="66" fillId="0" borderId="2" xfId="0" applyNumberFormat="1" applyFont="1" applyFill="1" applyBorder="1" applyAlignment="1">
      <alignment vertical="top" wrapText="1"/>
    </xf>
    <xf numFmtId="0" fontId="6" fillId="0" borderId="3" xfId="0" applyFont="1" applyFill="1" applyBorder="1" applyAlignment="1">
      <alignment vertical="top" wrapText="1"/>
    </xf>
    <xf numFmtId="165" fontId="66" fillId="0" borderId="3" xfId="0" applyNumberFormat="1" applyFont="1" applyFill="1" applyBorder="1" applyAlignment="1">
      <alignment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top" wrapText="1"/>
    </xf>
    <xf numFmtId="0" fontId="8" fillId="0" borderId="5" xfId="0" applyFont="1" applyFill="1" applyBorder="1" applyAlignment="1">
      <alignment horizontal="left" vertical="top" wrapText="1"/>
    </xf>
    <xf numFmtId="2" fontId="6" fillId="0" borderId="3" xfId="0" applyNumberFormat="1" applyFont="1" applyFill="1" applyBorder="1" applyAlignment="1">
      <alignment horizontal="center" vertical="center"/>
    </xf>
    <xf numFmtId="165" fontId="6" fillId="0" borderId="3" xfId="0" applyNumberFormat="1" applyFont="1" applyFill="1" applyBorder="1" applyAlignment="1">
      <alignment horizontal="left" vertical="center"/>
    </xf>
    <xf numFmtId="165" fontId="6" fillId="0" borderId="3"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0" fontId="9" fillId="0" borderId="0" xfId="0" applyFont="1" applyFill="1" applyBorder="1" applyAlignment="1">
      <alignment vertical="top" wrapText="1"/>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6" fillId="0" borderId="0" xfId="0" applyFont="1" applyFill="1" applyBorder="1" applyAlignment="1">
      <alignment horizontal="left" vertical="center"/>
    </xf>
    <xf numFmtId="2" fontId="6" fillId="0" borderId="4" xfId="0" applyNumberFormat="1" applyFont="1" applyFill="1" applyBorder="1" applyAlignment="1">
      <alignment horizontal="center" vertical="center"/>
    </xf>
    <xf numFmtId="0" fontId="68" fillId="0" borderId="2" xfId="0" applyFont="1" applyFill="1" applyBorder="1" applyAlignment="1">
      <alignment horizontal="center"/>
    </xf>
    <xf numFmtId="0" fontId="4" fillId="0" borderId="2" xfId="0" applyFont="1" applyFill="1" applyBorder="1" applyAlignment="1">
      <alignment horizontal="center" vertical="center" wrapText="1"/>
    </xf>
    <xf numFmtId="0" fontId="4" fillId="0" borderId="4" xfId="0" applyFont="1" applyFill="1" applyBorder="1" applyAlignment="1">
      <alignment vertical="center" wrapText="1"/>
    </xf>
    <xf numFmtId="0" fontId="7" fillId="0" borderId="2" xfId="0" applyFont="1" applyFill="1" applyBorder="1" applyAlignment="1">
      <alignment vertical="center" wrapText="1"/>
    </xf>
    <xf numFmtId="0" fontId="4" fillId="0" borderId="2" xfId="0" applyFont="1" applyFill="1" applyBorder="1" applyAlignment="1">
      <alignment horizontal="left" vertical="top" wrapText="1"/>
    </xf>
    <xf numFmtId="0" fontId="7"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2" fontId="6" fillId="0" borderId="0" xfId="0" applyNumberFormat="1" applyFont="1" applyFill="1" applyBorder="1" applyAlignment="1">
      <alignment horizontal="center" vertical="center" wrapText="1"/>
    </xf>
    <xf numFmtId="0" fontId="65" fillId="0" borderId="0"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7" xfId="0" applyFont="1" applyFill="1" applyBorder="1" applyAlignment="1">
      <alignment horizontal="center"/>
    </xf>
    <xf numFmtId="0" fontId="65" fillId="0" borderId="2" xfId="0" applyFont="1" applyFill="1" applyBorder="1" applyAlignment="1">
      <alignment vertical="center" wrapText="1"/>
    </xf>
    <xf numFmtId="2" fontId="56" fillId="0" borderId="2"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0" fontId="70" fillId="0" borderId="2" xfId="0" applyFont="1" applyFill="1" applyBorder="1" applyAlignment="1">
      <alignment horizontal="center" vertical="center" wrapText="1"/>
    </xf>
    <xf numFmtId="0" fontId="60" fillId="0" borderId="2" xfId="0" applyFont="1" applyFill="1" applyBorder="1" applyAlignment="1">
      <alignment horizontal="left" vertical="center" wrapText="1"/>
    </xf>
    <xf numFmtId="0" fontId="60" fillId="0" borderId="2" xfId="0" applyFont="1" applyFill="1" applyBorder="1" applyAlignment="1">
      <alignment horizontal="center" vertical="top" wrapText="1"/>
    </xf>
    <xf numFmtId="0" fontId="60" fillId="0" borderId="2" xfId="0" applyFont="1" applyFill="1" applyBorder="1" applyAlignment="1">
      <alignment horizontal="center" vertical="center" wrapText="1"/>
    </xf>
    <xf numFmtId="165" fontId="62" fillId="0" borderId="2" xfId="0" applyNumberFormat="1" applyFont="1" applyFill="1" applyBorder="1" applyAlignment="1">
      <alignment horizontal="left" vertical="center"/>
    </xf>
    <xf numFmtId="165" fontId="62" fillId="0" borderId="2" xfId="0" applyNumberFormat="1" applyFont="1" applyFill="1" applyBorder="1" applyAlignment="1">
      <alignment horizontal="center" vertical="center"/>
    </xf>
    <xf numFmtId="2" fontId="62" fillId="0" borderId="2" xfId="0" applyNumberFormat="1" applyFont="1" applyFill="1" applyBorder="1" applyAlignment="1">
      <alignment horizontal="center" vertical="center"/>
    </xf>
    <xf numFmtId="0" fontId="60" fillId="0" borderId="2" xfId="0" applyFont="1" applyFill="1" applyBorder="1" applyAlignment="1">
      <alignment horizontal="center" vertical="center"/>
    </xf>
    <xf numFmtId="0" fontId="66" fillId="0" borderId="2" xfId="0" applyFont="1" applyFill="1" applyBorder="1" applyAlignment="1">
      <alignment horizontal="center" vertical="center"/>
    </xf>
    <xf numFmtId="1" fontId="66" fillId="0" borderId="2" xfId="0" applyNumberFormat="1" applyFont="1" applyFill="1" applyBorder="1" applyAlignment="1">
      <alignment horizontal="center" vertical="center"/>
    </xf>
    <xf numFmtId="0" fontId="66" fillId="0" borderId="2" xfId="0" applyFont="1" applyFill="1" applyBorder="1" applyAlignment="1">
      <alignment horizontal="center"/>
    </xf>
    <xf numFmtId="0" fontId="60" fillId="0" borderId="2" xfId="0" applyFont="1" applyFill="1" applyBorder="1" applyAlignment="1">
      <alignment horizontal="left" vertical="top" wrapText="1"/>
    </xf>
    <xf numFmtId="2" fontId="62" fillId="0" borderId="0" xfId="0" applyNumberFormat="1" applyFont="1" applyFill="1" applyBorder="1" applyAlignment="1">
      <alignment horizontal="center" vertical="center"/>
    </xf>
    <xf numFmtId="2" fontId="60" fillId="0" borderId="0" xfId="0" applyNumberFormat="1" applyFont="1" applyFill="1" applyBorder="1" applyAlignment="1">
      <alignment horizontal="center" vertical="center"/>
    </xf>
    <xf numFmtId="1" fontId="60" fillId="0" borderId="2" xfId="0" applyNumberFormat="1" applyFont="1" applyFill="1" applyBorder="1" applyAlignment="1">
      <alignment horizontal="center" vertical="center" wrapText="1"/>
    </xf>
    <xf numFmtId="1" fontId="60" fillId="0" borderId="2" xfId="0" applyNumberFormat="1" applyFont="1" applyFill="1" applyBorder="1" applyAlignment="1">
      <alignment horizontal="center" vertical="center"/>
    </xf>
    <xf numFmtId="165" fontId="0" fillId="0" borderId="0" xfId="0" applyNumberFormat="1"/>
    <xf numFmtId="0" fontId="8" fillId="0" borderId="8" xfId="0" applyFont="1" applyFill="1" applyBorder="1" applyAlignment="1">
      <alignment vertical="top" wrapText="1"/>
    </xf>
    <xf numFmtId="0" fontId="8" fillId="0" borderId="2" xfId="0" applyFont="1" applyFill="1" applyBorder="1" applyAlignment="1">
      <alignment vertical="top" wrapText="1"/>
    </xf>
    <xf numFmtId="2" fontId="8" fillId="0" borderId="2" xfId="0" applyNumberFormat="1" applyFont="1" applyFill="1" applyBorder="1" applyAlignment="1">
      <alignment vertical="top" wrapText="1"/>
    </xf>
    <xf numFmtId="0" fontId="8" fillId="0" borderId="2" xfId="0" applyFont="1" applyFill="1" applyBorder="1" applyAlignment="1">
      <alignment horizontal="center" vertical="center" wrapText="1"/>
    </xf>
    <xf numFmtId="0" fontId="7" fillId="0" borderId="2" xfId="0" applyFont="1" applyFill="1" applyBorder="1" applyAlignment="1">
      <alignment vertical="center"/>
    </xf>
    <xf numFmtId="0" fontId="6" fillId="0" borderId="7" xfId="0" applyFont="1" applyFill="1" applyBorder="1" applyAlignment="1">
      <alignment horizontal="center" vertical="top" wrapText="1"/>
    </xf>
    <xf numFmtId="2" fontId="6" fillId="0" borderId="4" xfId="0" applyNumberFormat="1" applyFont="1" applyFill="1" applyBorder="1" applyAlignment="1">
      <alignment vertical="center"/>
    </xf>
    <xf numFmtId="2" fontId="69" fillId="0" borderId="2" xfId="0" applyNumberFormat="1" applyFont="1" applyFill="1" applyBorder="1" applyAlignment="1">
      <alignment horizontal="center" vertical="center"/>
    </xf>
    <xf numFmtId="0" fontId="60" fillId="0" borderId="5" xfId="0" applyFont="1" applyFill="1" applyBorder="1" applyAlignment="1">
      <alignment horizontal="right" vertical="center" wrapText="1"/>
    </xf>
    <xf numFmtId="0" fontId="6" fillId="0" borderId="5" xfId="0" applyFont="1" applyFill="1" applyBorder="1" applyAlignment="1">
      <alignment horizontal="center" vertical="top" wrapText="1"/>
    </xf>
    <xf numFmtId="0" fontId="8" fillId="0" borderId="5"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60" fillId="0" borderId="2" xfId="0" applyFont="1" applyFill="1" applyBorder="1" applyAlignment="1">
      <alignment horizontal="left" vertical="top" wrapText="1"/>
    </xf>
    <xf numFmtId="0" fontId="60" fillId="0" borderId="2" xfId="0" applyFont="1" applyFill="1" applyBorder="1" applyAlignment="1">
      <alignment horizontal="right" vertical="top" wrapText="1"/>
    </xf>
    <xf numFmtId="0" fontId="60" fillId="0" borderId="5" xfId="0" applyFont="1" applyFill="1" applyBorder="1" applyAlignment="1">
      <alignment horizontal="left" vertical="top" wrapText="1"/>
    </xf>
    <xf numFmtId="0" fontId="4" fillId="0" borderId="5"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5" xfId="0" applyFont="1" applyFill="1" applyBorder="1" applyAlignment="1">
      <alignment horizontal="left" wrapText="1"/>
    </xf>
    <xf numFmtId="0" fontId="60" fillId="0" borderId="5" xfId="0" applyFont="1" applyFill="1" applyBorder="1" applyAlignment="1">
      <alignment horizontal="center" vertical="top" wrapText="1"/>
    </xf>
    <xf numFmtId="0" fontId="8" fillId="0" borderId="5" xfId="0" applyFont="1" applyFill="1" applyBorder="1" applyAlignment="1">
      <alignment horizontal="left" vertical="center" wrapText="1"/>
    </xf>
    <xf numFmtId="0" fontId="6" fillId="0" borderId="5" xfId="0" applyFont="1" applyFill="1" applyBorder="1" applyAlignment="1">
      <alignment horizontal="left" vertical="top" wrapText="1"/>
    </xf>
    <xf numFmtId="2"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60" fillId="0" borderId="2" xfId="0" applyNumberFormat="1" applyFont="1" applyFill="1" applyBorder="1" applyAlignment="1">
      <alignment horizontal="center" vertical="center"/>
    </xf>
    <xf numFmtId="0" fontId="8" fillId="0" borderId="2" xfId="0" applyFont="1" applyFill="1" applyBorder="1" applyAlignment="1">
      <alignment horizontal="left" vertical="top" wrapText="1"/>
    </xf>
    <xf numFmtId="0" fontId="8" fillId="0" borderId="5" xfId="0" applyFont="1" applyFill="1" applyBorder="1" applyAlignment="1">
      <alignment horizontal="left" vertical="top" wrapText="1"/>
    </xf>
    <xf numFmtId="0" fontId="7" fillId="0" borderId="2" xfId="0" applyFont="1" applyFill="1" applyBorder="1" applyAlignment="1">
      <alignment horizontal="center" vertical="center" wrapText="1"/>
    </xf>
    <xf numFmtId="0" fontId="74" fillId="0" borderId="0" xfId="0" applyFont="1"/>
    <xf numFmtId="165" fontId="66" fillId="0" borderId="3" xfId="0" applyNumberFormat="1" applyFont="1" applyFill="1" applyBorder="1" applyAlignment="1">
      <alignment vertical="center" wrapText="1"/>
    </xf>
    <xf numFmtId="2" fontId="5" fillId="0" borderId="2" xfId="0" applyNumberFormat="1" applyFont="1" applyFill="1" applyBorder="1" applyAlignment="1">
      <alignment horizontal="center" vertical="center"/>
    </xf>
    <xf numFmtId="2" fontId="33" fillId="0" borderId="2" xfId="0" applyNumberFormat="1" applyFont="1" applyFill="1" applyBorder="1" applyAlignment="1">
      <alignment horizontal="left" vertical="center"/>
    </xf>
    <xf numFmtId="0" fontId="8" fillId="0" borderId="2" xfId="0" applyFont="1" applyFill="1" applyBorder="1" applyAlignment="1">
      <alignment horizontal="center"/>
    </xf>
    <xf numFmtId="0" fontId="75" fillId="0" borderId="2" xfId="0" applyFont="1" applyFill="1" applyBorder="1" applyAlignment="1">
      <alignment horizontal="center"/>
    </xf>
    <xf numFmtId="0" fontId="69" fillId="0" borderId="2" xfId="0" applyFont="1" applyFill="1" applyBorder="1" applyAlignment="1">
      <alignment horizontal="center"/>
    </xf>
    <xf numFmtId="0" fontId="14" fillId="0" borderId="0" xfId="0" applyFont="1" applyFill="1" applyBorder="1" applyAlignment="1">
      <alignment vertical="center" wrapText="1"/>
    </xf>
    <xf numFmtId="0" fontId="33" fillId="0" borderId="0" xfId="0" applyFont="1" applyAlignment="1">
      <alignment horizontal="center" vertical="center" wrapText="1"/>
    </xf>
    <xf numFmtId="0" fontId="68" fillId="0" borderId="2" xfId="0" applyFont="1" applyFill="1" applyBorder="1"/>
    <xf numFmtId="1" fontId="10" fillId="0" borderId="2" xfId="0" applyNumberFormat="1" applyFont="1" applyFill="1" applyBorder="1" applyAlignment="1">
      <alignment horizontal="right" vertical="center"/>
    </xf>
    <xf numFmtId="0" fontId="45" fillId="0" borderId="0" xfId="0" applyFont="1" applyBorder="1" applyAlignment="1">
      <alignment horizontal="left" wrapText="1"/>
    </xf>
    <xf numFmtId="0" fontId="78" fillId="0" borderId="2" xfId="0" applyFont="1" applyBorder="1" applyAlignment="1">
      <alignment horizontal="left" vertical="top" wrapText="1"/>
    </xf>
    <xf numFmtId="0" fontId="79" fillId="0" borderId="2" xfId="0" applyFont="1" applyBorder="1" applyAlignment="1">
      <alignment horizontal="left" vertical="top" wrapText="1"/>
    </xf>
    <xf numFmtId="0" fontId="79" fillId="0" borderId="0" xfId="0" applyFont="1" applyBorder="1" applyAlignment="1">
      <alignment horizontal="left" wrapText="1"/>
    </xf>
    <xf numFmtId="0" fontId="78" fillId="0" borderId="0" xfId="0" applyFont="1" applyAlignment="1">
      <alignment horizontal="left" wrapText="1"/>
    </xf>
    <xf numFmtId="0" fontId="79" fillId="0" borderId="0" xfId="0" applyFont="1" applyAlignment="1">
      <alignment horizontal="left" wrapText="1"/>
    </xf>
    <xf numFmtId="0" fontId="54" fillId="0" borderId="0" xfId="0" applyFont="1"/>
    <xf numFmtId="0" fontId="54" fillId="0" borderId="0" xfId="0" applyFont="1" applyAlignment="1">
      <alignment wrapText="1"/>
    </xf>
    <xf numFmtId="0" fontId="79" fillId="0" borderId="2" xfId="0" applyFont="1" applyBorder="1" applyAlignment="1">
      <alignment vertical="top" wrapText="1"/>
    </xf>
    <xf numFmtId="0" fontId="78" fillId="0" borderId="2" xfId="0" applyFont="1" applyBorder="1" applyAlignment="1">
      <alignment horizontal="right" vertical="top" wrapText="1"/>
    </xf>
    <xf numFmtId="0" fontId="79" fillId="0" borderId="2" xfId="0" applyFont="1" applyBorder="1" applyAlignment="1">
      <alignment horizontal="right" vertical="top" wrapText="1"/>
    </xf>
    <xf numFmtId="0" fontId="86" fillId="0" borderId="2" xfId="0" applyFont="1" applyBorder="1" applyAlignment="1">
      <alignment horizontal="left" vertical="top" wrapText="1"/>
    </xf>
    <xf numFmtId="0" fontId="79" fillId="0" borderId="2" xfId="0" applyFont="1" applyBorder="1" applyAlignment="1">
      <alignment horizontal="left" vertical="top" wrapText="1"/>
    </xf>
    <xf numFmtId="0" fontId="79" fillId="0" borderId="2" xfId="0" applyFont="1" applyBorder="1" applyAlignment="1">
      <alignment vertical="top" wrapText="1"/>
    </xf>
    <xf numFmtId="0" fontId="79" fillId="0" borderId="2" xfId="0" applyFont="1" applyBorder="1" applyAlignment="1">
      <alignment horizontal="center" vertical="top" wrapText="1"/>
    </xf>
    <xf numFmtId="0" fontId="54" fillId="0" borderId="2" xfId="0" applyFont="1" applyBorder="1" applyAlignment="1">
      <alignment vertical="top" wrapText="1"/>
    </xf>
    <xf numFmtId="0" fontId="83" fillId="0" borderId="2" xfId="0" applyFont="1" applyBorder="1" applyAlignment="1">
      <alignment vertical="top" wrapText="1"/>
    </xf>
    <xf numFmtId="0" fontId="78" fillId="0" borderId="2" xfId="0" applyFont="1" applyBorder="1" applyAlignment="1">
      <alignment vertical="top" wrapText="1"/>
    </xf>
    <xf numFmtId="168" fontId="84" fillId="0" borderId="2" xfId="1" applyNumberFormat="1" applyFont="1" applyBorder="1" applyAlignment="1">
      <alignment horizontal="right" vertical="top" wrapText="1"/>
    </xf>
    <xf numFmtId="49" fontId="30" fillId="3" borderId="55" xfId="0" quotePrefix="1" applyNumberFormat="1" applyFont="1" applyFill="1" applyBorder="1" applyAlignment="1">
      <alignment horizontal="right"/>
    </xf>
    <xf numFmtId="0" fontId="58" fillId="3" borderId="1" xfId="0" applyFont="1" applyFill="1" applyBorder="1" applyAlignment="1">
      <alignment horizontal="left" vertical="top" wrapText="1"/>
    </xf>
    <xf numFmtId="0" fontId="58" fillId="3" borderId="36" xfId="0" applyFont="1" applyFill="1" applyBorder="1" applyAlignment="1">
      <alignment horizontal="left"/>
    </xf>
    <xf numFmtId="0" fontId="58" fillId="3" borderId="2" xfId="0" applyFont="1" applyFill="1" applyBorder="1" applyAlignment="1">
      <alignment vertical="top" wrapText="1"/>
    </xf>
    <xf numFmtId="0" fontId="58" fillId="3" borderId="0" xfId="0" applyFont="1" applyFill="1" applyAlignment="1">
      <alignment vertical="top" wrapText="1"/>
    </xf>
    <xf numFmtId="0" fontId="58" fillId="3" borderId="1" xfId="0" applyFont="1" applyFill="1" applyBorder="1" applyAlignment="1">
      <alignment horizontal="left"/>
    </xf>
    <xf numFmtId="49" fontId="30" fillId="3" borderId="1" xfId="0" quotePrefix="1" applyNumberFormat="1" applyFont="1" applyFill="1" applyBorder="1" applyAlignment="1">
      <alignment wrapText="1"/>
    </xf>
    <xf numFmtId="0" fontId="58" fillId="3" borderId="1" xfId="0" applyFont="1" applyFill="1" applyBorder="1"/>
    <xf numFmtId="49" fontId="30" fillId="3" borderId="1" xfId="0" quotePrefix="1" applyNumberFormat="1" applyFont="1" applyFill="1" applyBorder="1" applyAlignment="1"/>
    <xf numFmtId="0" fontId="58" fillId="3" borderId="1" xfId="0" applyFont="1" applyFill="1" applyBorder="1" applyAlignment="1"/>
    <xf numFmtId="0" fontId="58" fillId="3" borderId="1" xfId="0" applyFont="1" applyFill="1" applyBorder="1" applyAlignment="1">
      <alignment horizontal="left" wrapText="1"/>
    </xf>
    <xf numFmtId="0" fontId="58" fillId="3" borderId="62" xfId="0" applyFont="1" applyFill="1" applyBorder="1"/>
    <xf numFmtId="0" fontId="58" fillId="3" borderId="0" xfId="0" applyFont="1" applyFill="1" applyBorder="1"/>
    <xf numFmtId="2" fontId="58" fillId="3" borderId="0" xfId="0" applyNumberFormat="1" applyFont="1" applyFill="1" applyBorder="1"/>
    <xf numFmtId="0" fontId="30" fillId="3" borderId="0" xfId="0" applyFont="1" applyFill="1" applyBorder="1"/>
    <xf numFmtId="0" fontId="58" fillId="3" borderId="0" xfId="0" applyFont="1" applyFill="1" applyBorder="1" applyAlignment="1">
      <alignment horizontal="left"/>
    </xf>
    <xf numFmtId="0" fontId="58" fillId="3" borderId="1" xfId="0" applyFont="1" applyFill="1" applyBorder="1" applyAlignment="1">
      <alignment horizontal="center" vertical="top"/>
    </xf>
    <xf numFmtId="165" fontId="58" fillId="3" borderId="1" xfId="0" applyNumberFormat="1" applyFont="1" applyFill="1" applyBorder="1" applyAlignment="1">
      <alignment horizontal="center" vertical="top"/>
    </xf>
    <xf numFmtId="0" fontId="58" fillId="3" borderId="36" xfId="0" applyFont="1" applyFill="1" applyBorder="1" applyAlignment="1">
      <alignment horizontal="center"/>
    </xf>
    <xf numFmtId="2" fontId="58" fillId="3" borderId="36" xfId="0" applyNumberFormat="1" applyFont="1" applyFill="1" applyBorder="1" applyAlignment="1">
      <alignment horizontal="center"/>
    </xf>
    <xf numFmtId="0" fontId="58" fillId="3" borderId="2" xfId="0" applyFont="1" applyFill="1" applyBorder="1" applyAlignment="1">
      <alignment horizontal="center" vertical="top"/>
    </xf>
    <xf numFmtId="1" fontId="58" fillId="3" borderId="2" xfId="0" applyNumberFormat="1" applyFont="1" applyFill="1" applyBorder="1" applyAlignment="1">
      <alignment horizontal="center" vertical="top"/>
    </xf>
    <xf numFmtId="0" fontId="58" fillId="3" borderId="37" xfId="0" applyFont="1" applyFill="1" applyBorder="1" applyAlignment="1">
      <alignment horizontal="center"/>
    </xf>
    <xf numFmtId="2" fontId="58" fillId="3" borderId="37" xfId="0" applyNumberFormat="1" applyFont="1" applyFill="1" applyBorder="1" applyAlignment="1">
      <alignment horizontal="center"/>
    </xf>
    <xf numFmtId="0" fontId="58" fillId="3" borderId="1" xfId="0" applyFont="1" applyFill="1" applyBorder="1" applyAlignment="1">
      <alignment horizontal="center"/>
    </xf>
    <xf numFmtId="2" fontId="58" fillId="3" borderId="1" xfId="0" applyNumberFormat="1" applyFont="1" applyFill="1" applyBorder="1" applyAlignment="1">
      <alignment horizontal="center"/>
    </xf>
    <xf numFmtId="164" fontId="58" fillId="3" borderId="1" xfId="0" applyNumberFormat="1" applyFont="1" applyFill="1" applyBorder="1" applyAlignment="1">
      <alignment horizontal="center"/>
    </xf>
    <xf numFmtId="1" fontId="58" fillId="3" borderId="1" xfId="0" applyNumberFormat="1" applyFont="1" applyFill="1" applyBorder="1" applyAlignment="1">
      <alignment horizontal="center"/>
    </xf>
    <xf numFmtId="49" fontId="30" fillId="3" borderId="1" xfId="0" quotePrefix="1" applyNumberFormat="1" applyFont="1" applyFill="1" applyBorder="1" applyAlignment="1">
      <alignment horizontal="center" wrapText="1"/>
    </xf>
    <xf numFmtId="165" fontId="58" fillId="3" borderId="1" xfId="0" applyNumberFormat="1" applyFont="1" applyFill="1" applyBorder="1" applyAlignment="1">
      <alignment horizontal="center"/>
    </xf>
    <xf numFmtId="2" fontId="30" fillId="3" borderId="1" xfId="0" applyNumberFormat="1" applyFont="1" applyFill="1" applyBorder="1" applyAlignment="1">
      <alignment horizontal="center"/>
    </xf>
    <xf numFmtId="9" fontId="58" fillId="3" borderId="1" xfId="0" applyNumberFormat="1" applyFont="1" applyFill="1" applyBorder="1" applyAlignment="1">
      <alignment horizontal="center"/>
    </xf>
    <xf numFmtId="166" fontId="58" fillId="3" borderId="1" xfId="0" applyNumberFormat="1" applyFont="1" applyFill="1" applyBorder="1" applyAlignment="1">
      <alignment horizontal="center"/>
    </xf>
    <xf numFmtId="0" fontId="58" fillId="3" borderId="62" xfId="0" applyFont="1" applyFill="1" applyBorder="1" applyAlignment="1">
      <alignment horizontal="center"/>
    </xf>
    <xf numFmtId="2" fontId="30" fillId="3" borderId="62" xfId="0" applyNumberFormat="1" applyFont="1" applyFill="1" applyBorder="1" applyAlignment="1">
      <alignment horizontal="center"/>
    </xf>
    <xf numFmtId="0" fontId="0" fillId="3" borderId="1" xfId="0" applyFont="1" applyFill="1" applyBorder="1" applyAlignment="1">
      <alignment horizontal="left" vertical="center"/>
    </xf>
    <xf numFmtId="0" fontId="58" fillId="3" borderId="1" xfId="0" applyFont="1" applyFill="1" applyBorder="1" applyAlignment="1">
      <alignment horizontal="left" vertical="center" wrapText="1"/>
    </xf>
    <xf numFmtId="0" fontId="58" fillId="3" borderId="1" xfId="0" applyFont="1" applyFill="1" applyBorder="1" applyAlignment="1">
      <alignment horizontal="center" vertical="center"/>
    </xf>
    <xf numFmtId="165" fontId="58" fillId="3" borderId="1" xfId="0" applyNumberFormat="1" applyFont="1" applyFill="1" applyBorder="1" applyAlignment="1">
      <alignment horizontal="center" vertical="center"/>
    </xf>
    <xf numFmtId="0" fontId="58" fillId="3" borderId="36" xfId="0" applyFont="1" applyFill="1" applyBorder="1" applyAlignment="1">
      <alignment horizontal="center" vertical="center"/>
    </xf>
    <xf numFmtId="2" fontId="58" fillId="3" borderId="36" xfId="0" applyNumberFormat="1" applyFont="1" applyFill="1" applyBorder="1" applyAlignment="1">
      <alignment horizontal="center" vertical="center"/>
    </xf>
    <xf numFmtId="0" fontId="58" fillId="3" borderId="1" xfId="0" applyFont="1" applyFill="1" applyBorder="1" applyAlignment="1">
      <alignment horizontal="left" vertical="center"/>
    </xf>
    <xf numFmtId="0" fontId="58" fillId="3" borderId="37" xfId="0" applyFont="1" applyFill="1" applyBorder="1" applyAlignment="1">
      <alignment horizontal="center" vertical="center"/>
    </xf>
    <xf numFmtId="2" fontId="58" fillId="3" borderId="37" xfId="0" applyNumberFormat="1" applyFont="1" applyFill="1" applyBorder="1" applyAlignment="1">
      <alignment horizontal="center" vertical="center"/>
    </xf>
    <xf numFmtId="2" fontId="58" fillId="3" borderId="1" xfId="0" applyNumberFormat="1" applyFont="1" applyFill="1" applyBorder="1" applyAlignment="1">
      <alignment horizontal="center" vertical="center"/>
    </xf>
    <xf numFmtId="164" fontId="58" fillId="3" borderId="1" xfId="0" applyNumberFormat="1" applyFont="1" applyFill="1" applyBorder="1" applyAlignment="1">
      <alignment horizontal="center" vertical="center"/>
    </xf>
    <xf numFmtId="1" fontId="58" fillId="3" borderId="1" xfId="0" applyNumberFormat="1" applyFont="1" applyFill="1" applyBorder="1" applyAlignment="1">
      <alignment horizontal="center" vertical="center"/>
    </xf>
    <xf numFmtId="49" fontId="30" fillId="3" borderId="1" xfId="0" quotePrefix="1" applyNumberFormat="1" applyFont="1" applyFill="1" applyBorder="1" applyAlignment="1">
      <alignment vertical="center" wrapText="1"/>
    </xf>
    <xf numFmtId="0" fontId="58" fillId="3" borderId="1" xfId="0" applyFont="1" applyFill="1" applyBorder="1" applyAlignment="1">
      <alignment vertical="center"/>
    </xf>
    <xf numFmtId="49" fontId="30" fillId="3" borderId="1" xfId="0" quotePrefix="1" applyNumberFormat="1" applyFont="1" applyFill="1" applyBorder="1" applyAlignment="1">
      <alignment horizontal="center" vertical="center" wrapText="1"/>
    </xf>
    <xf numFmtId="0" fontId="58" fillId="3" borderId="1" xfId="0" applyFont="1" applyFill="1" applyBorder="1" applyAlignment="1">
      <alignment vertical="center" wrapText="1"/>
    </xf>
    <xf numFmtId="2" fontId="30" fillId="3" borderId="1" xfId="0" applyNumberFormat="1" applyFont="1" applyFill="1" applyBorder="1" applyAlignment="1">
      <alignment horizontal="center" vertical="center"/>
    </xf>
    <xf numFmtId="9" fontId="58" fillId="3" borderId="1" xfId="0" applyNumberFormat="1" applyFont="1" applyFill="1" applyBorder="1" applyAlignment="1">
      <alignment horizontal="center" vertical="center"/>
    </xf>
    <xf numFmtId="166" fontId="58" fillId="3" borderId="1" xfId="0" applyNumberFormat="1" applyFont="1" applyFill="1" applyBorder="1" applyAlignment="1">
      <alignment horizontal="center" vertical="center"/>
    </xf>
    <xf numFmtId="0" fontId="58" fillId="3" borderId="62" xfId="0" applyFont="1" applyFill="1" applyBorder="1" applyAlignment="1">
      <alignment vertical="center"/>
    </xf>
    <xf numFmtId="0" fontId="58" fillId="3" borderId="62" xfId="0" applyFont="1" applyFill="1" applyBorder="1" applyAlignment="1">
      <alignment horizontal="center" vertical="center"/>
    </xf>
    <xf numFmtId="2" fontId="30" fillId="3" borderId="62" xfId="0" applyNumberFormat="1" applyFont="1" applyFill="1" applyBorder="1" applyAlignment="1">
      <alignment horizontal="center" vertical="center"/>
    </xf>
    <xf numFmtId="49" fontId="30" fillId="3" borderId="55" xfId="0" quotePrefix="1" applyNumberFormat="1" applyFont="1" applyFill="1" applyBorder="1" applyAlignment="1">
      <alignment horizontal="left" vertical="center"/>
    </xf>
    <xf numFmtId="1" fontId="78" fillId="0" borderId="2" xfId="0" applyNumberFormat="1" applyFont="1" applyBorder="1" applyAlignment="1">
      <alignment horizontal="center" vertical="top" wrapText="1"/>
    </xf>
    <xf numFmtId="0" fontId="78" fillId="0" borderId="2" xfId="0" applyFont="1" applyBorder="1" applyAlignment="1">
      <alignment horizontal="right" vertical="center" wrapText="1"/>
    </xf>
    <xf numFmtId="0" fontId="79" fillId="0" borderId="2" xfId="0" applyFont="1" applyBorder="1" applyAlignment="1">
      <alignment horizontal="right" vertical="center" wrapText="1"/>
    </xf>
    <xf numFmtId="0" fontId="78" fillId="0" borderId="2" xfId="0" applyFont="1" applyBorder="1" applyAlignment="1">
      <alignment horizontal="center" vertical="top" wrapText="1"/>
    </xf>
    <xf numFmtId="0" fontId="54" fillId="0" borderId="2" xfId="0" applyFont="1" applyBorder="1" applyAlignment="1">
      <alignment horizontal="center" vertical="top"/>
    </xf>
    <xf numFmtId="0" fontId="78" fillId="0" borderId="6" xfId="0" applyFont="1" applyBorder="1" applyAlignment="1">
      <alignment horizontal="left" vertical="top" wrapText="1"/>
    </xf>
    <xf numFmtId="0" fontId="78" fillId="0" borderId="63" xfId="0" applyFont="1" applyBorder="1" applyAlignment="1">
      <alignment horizontal="left" vertical="top" wrapText="1"/>
    </xf>
    <xf numFmtId="0" fontId="78" fillId="0" borderId="7" xfId="0" applyFont="1" applyBorder="1" applyAlignment="1">
      <alignment horizontal="left" vertical="top" wrapText="1"/>
    </xf>
    <xf numFmtId="0" fontId="79" fillId="0" borderId="2" xfId="0" applyFont="1" applyBorder="1" applyAlignment="1">
      <alignment horizontal="center" vertical="top" wrapText="1"/>
    </xf>
    <xf numFmtId="0" fontId="79" fillId="0" borderId="2" xfId="0" applyFont="1" applyBorder="1" applyAlignment="1">
      <alignment horizontal="left" vertical="top" wrapText="1"/>
    </xf>
    <xf numFmtId="0" fontId="79" fillId="0" borderId="2" xfId="2" applyFont="1" applyBorder="1" applyAlignment="1">
      <alignment horizontal="left" vertical="top" wrapText="1"/>
    </xf>
    <xf numFmtId="0" fontId="79" fillId="0" borderId="5" xfId="0" applyFont="1" applyBorder="1" applyAlignment="1">
      <alignment horizontal="left" vertical="top" wrapText="1"/>
    </xf>
    <xf numFmtId="0" fontId="79" fillId="0" borderId="4" xfId="0" applyFont="1" applyBorder="1" applyAlignment="1">
      <alignment horizontal="left" vertical="top" wrapText="1"/>
    </xf>
    <xf numFmtId="0" fontId="44" fillId="0" borderId="0" xfId="0" applyFont="1" applyAlignment="1">
      <alignment horizontal="center" vertical="center" wrapText="1"/>
    </xf>
    <xf numFmtId="0" fontId="79" fillId="0" borderId="2" xfId="0" applyFont="1" applyBorder="1" applyAlignment="1">
      <alignment vertical="top" wrapText="1"/>
    </xf>
    <xf numFmtId="0" fontId="79" fillId="0" borderId="5" xfId="0" applyFont="1" applyBorder="1" applyAlignment="1">
      <alignment vertical="top" wrapText="1"/>
    </xf>
    <xf numFmtId="0" fontId="79" fillId="0" borderId="4" xfId="0" applyFont="1" applyBorder="1" applyAlignment="1">
      <alignment vertical="top" wrapText="1"/>
    </xf>
    <xf numFmtId="0" fontId="54" fillId="0" borderId="5" xfId="0" applyFont="1" applyBorder="1" applyAlignment="1">
      <alignment vertical="top" wrapText="1"/>
    </xf>
    <xf numFmtId="0" fontId="54" fillId="0" borderId="4" xfId="0" applyFont="1" applyBorder="1" applyAlignment="1">
      <alignment vertical="top" wrapText="1"/>
    </xf>
    <xf numFmtId="0" fontId="0" fillId="0" borderId="0" xfId="0" applyAlignment="1">
      <alignment horizontal="center" vertical="center" wrapText="1"/>
    </xf>
    <xf numFmtId="0" fontId="1" fillId="0" borderId="0" xfId="0" applyFont="1" applyAlignment="1">
      <alignment horizontal="center"/>
    </xf>
    <xf numFmtId="0" fontId="42" fillId="0" borderId="0" xfId="0" applyFont="1" applyFill="1" applyBorder="1" applyAlignment="1">
      <alignment horizontal="left" vertical="center" wrapText="1"/>
    </xf>
    <xf numFmtId="0" fontId="0" fillId="0" borderId="0" xfId="0" applyAlignment="1">
      <alignment horizontal="center"/>
    </xf>
    <xf numFmtId="0" fontId="58" fillId="5" borderId="0" xfId="0" applyFont="1" applyFill="1" applyAlignment="1">
      <alignment horizontal="center" vertical="center" wrapText="1"/>
    </xf>
    <xf numFmtId="0" fontId="29" fillId="0" borderId="2" xfId="0" applyFont="1" applyFill="1" applyBorder="1" applyAlignment="1">
      <alignment horizontal="center"/>
    </xf>
    <xf numFmtId="0" fontId="30" fillId="0" borderId="5" xfId="0" applyFont="1" applyFill="1" applyBorder="1" applyAlignment="1">
      <alignment horizontal="center"/>
    </xf>
    <xf numFmtId="0" fontId="30" fillId="0" borderId="3" xfId="0" applyFont="1" applyFill="1" applyBorder="1" applyAlignment="1">
      <alignment horizontal="center"/>
    </xf>
    <xf numFmtId="0" fontId="30" fillId="0" borderId="4" xfId="0" applyFont="1" applyFill="1" applyBorder="1" applyAlignment="1">
      <alignment horizontal="center"/>
    </xf>
    <xf numFmtId="2" fontId="51" fillId="0" borderId="0" xfId="0" applyNumberFormat="1" applyFont="1" applyFill="1" applyBorder="1" applyAlignment="1">
      <alignment horizontal="center" vertical="center"/>
    </xf>
    <xf numFmtId="0" fontId="41" fillId="0" borderId="0" xfId="0" applyFont="1" applyFill="1" applyBorder="1" applyAlignment="1">
      <alignment horizontal="center" vertical="center" wrapText="1"/>
    </xf>
    <xf numFmtId="0" fontId="0" fillId="5" borderId="5" xfId="0" applyFont="1" applyFill="1" applyBorder="1" applyAlignment="1">
      <alignment horizontal="center"/>
    </xf>
    <xf numFmtId="0" fontId="0" fillId="5" borderId="4" xfId="0" applyFont="1" applyFill="1" applyBorder="1" applyAlignment="1">
      <alignment horizontal="center"/>
    </xf>
    <xf numFmtId="0" fontId="0" fillId="5" borderId="5" xfId="0" applyFill="1" applyBorder="1" applyAlignment="1">
      <alignment horizontal="center"/>
    </xf>
    <xf numFmtId="0" fontId="47" fillId="7" borderId="0" xfId="0" applyFont="1" applyFill="1" applyAlignment="1">
      <alignment horizontal="center" wrapText="1"/>
    </xf>
    <xf numFmtId="0" fontId="58" fillId="0" borderId="0" xfId="0" applyFont="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center" wrapText="1"/>
    </xf>
    <xf numFmtId="0" fontId="2" fillId="3" borderId="0" xfId="0" applyFont="1" applyFill="1" applyAlignment="1">
      <alignment horizontal="center"/>
    </xf>
    <xf numFmtId="49" fontId="87" fillId="3" borderId="55" xfId="0" applyNumberFormat="1" applyFont="1" applyFill="1" applyBorder="1" applyAlignment="1">
      <alignment horizontal="center" vertical="center" wrapText="1"/>
    </xf>
    <xf numFmtId="49" fontId="87" fillId="3" borderId="64" xfId="0" applyNumberFormat="1" applyFont="1" applyFill="1" applyBorder="1" applyAlignment="1">
      <alignment horizontal="center" vertical="center" wrapText="1"/>
    </xf>
    <xf numFmtId="49" fontId="87" fillId="3" borderId="34" xfId="0" applyNumberFormat="1" applyFont="1" applyFill="1" applyBorder="1" applyAlignment="1">
      <alignment horizontal="center" vertical="center" wrapText="1"/>
    </xf>
    <xf numFmtId="0" fontId="16" fillId="3" borderId="0" xfId="0" applyFont="1" applyFill="1" applyAlignment="1">
      <alignment horizontal="center" wrapText="1"/>
    </xf>
    <xf numFmtId="0" fontId="0" fillId="0" borderId="0" xfId="0" applyFont="1" applyAlignment="1">
      <alignment horizontal="center" vertical="center"/>
    </xf>
    <xf numFmtId="0" fontId="14" fillId="0" borderId="0" xfId="0" applyFont="1" applyFill="1" applyBorder="1" applyAlignment="1">
      <alignment horizontal="center" vertical="center" wrapText="1"/>
    </xf>
    <xf numFmtId="0" fontId="2" fillId="0" borderId="0" xfId="0" applyFont="1" applyAlignment="1">
      <alignment horizontal="right"/>
    </xf>
    <xf numFmtId="49" fontId="1" fillId="0" borderId="2" xfId="0" applyNumberFormat="1" applyFont="1" applyBorder="1" applyAlignment="1">
      <alignment horizontal="center"/>
    </xf>
    <xf numFmtId="49" fontId="1" fillId="0" borderId="2" xfId="0" quotePrefix="1" applyNumberFormat="1" applyFont="1" applyBorder="1" applyAlignment="1">
      <alignment horizontal="center"/>
    </xf>
    <xf numFmtId="0" fontId="1" fillId="0" borderId="2" xfId="0" applyFont="1" applyBorder="1" applyAlignment="1">
      <alignment horizontal="center"/>
    </xf>
    <xf numFmtId="0" fontId="0" fillId="0" borderId="0" xfId="0" applyAlignment="1">
      <alignment horizontal="left"/>
    </xf>
    <xf numFmtId="0" fontId="1" fillId="5" borderId="0" xfId="0" applyFont="1" applyFill="1" applyAlignment="1">
      <alignment horizontal="left"/>
    </xf>
    <xf numFmtId="49" fontId="30" fillId="0" borderId="8" xfId="0" quotePrefix="1" applyNumberFormat="1" applyFont="1" applyBorder="1" applyAlignment="1">
      <alignment horizontal="center"/>
    </xf>
    <xf numFmtId="0" fontId="60" fillId="0" borderId="5" xfId="0" applyFont="1" applyFill="1" applyBorder="1" applyAlignment="1">
      <alignment horizontal="right" vertical="center" wrapText="1"/>
    </xf>
    <xf numFmtId="0" fontId="60" fillId="0" borderId="3" xfId="0" applyFont="1" applyFill="1" applyBorder="1" applyAlignment="1">
      <alignment horizontal="right" vertical="center" wrapText="1"/>
    </xf>
    <xf numFmtId="0" fontId="60" fillId="0" borderId="4" xfId="0" applyFont="1" applyFill="1" applyBorder="1" applyAlignment="1">
      <alignment horizontal="right" vertical="center" wrapText="1"/>
    </xf>
    <xf numFmtId="2" fontId="6" fillId="0" borderId="5" xfId="0"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2" fontId="6" fillId="0" borderId="5" xfId="0" applyNumberFormat="1" applyFont="1" applyFill="1" applyBorder="1" applyAlignment="1">
      <alignment horizontal="center" vertical="top" wrapText="1"/>
    </xf>
    <xf numFmtId="2" fontId="6" fillId="0" borderId="4" xfId="0" applyNumberFormat="1" applyFont="1" applyFill="1" applyBorder="1" applyAlignment="1">
      <alignment horizontal="center" vertical="top" wrapText="1"/>
    </xf>
    <xf numFmtId="2" fontId="8" fillId="0" borderId="5" xfId="0" applyNumberFormat="1" applyFont="1" applyFill="1" applyBorder="1" applyAlignment="1">
      <alignment horizontal="center" vertical="top" wrapText="1"/>
    </xf>
    <xf numFmtId="2" fontId="8" fillId="0" borderId="4" xfId="0" applyNumberFormat="1"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4"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center"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60" fillId="0" borderId="5" xfId="0" applyFont="1" applyFill="1" applyBorder="1" applyAlignment="1">
      <alignment horizontal="left" vertical="top" wrapText="1"/>
    </xf>
    <xf numFmtId="0" fontId="60" fillId="0" borderId="3" xfId="0" applyFont="1" applyFill="1" applyBorder="1" applyAlignment="1">
      <alignment horizontal="left" vertical="top" wrapText="1"/>
    </xf>
    <xf numFmtId="0" fontId="60" fillId="0" borderId="4"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6" fillId="0" borderId="3" xfId="0" applyFont="1" applyFill="1" applyBorder="1" applyAlignment="1">
      <alignment horizontal="left" vertical="top" wrapText="1"/>
    </xf>
    <xf numFmtId="0" fontId="14"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60" fillId="0" borderId="2" xfId="0" applyFont="1" applyFill="1" applyBorder="1" applyAlignment="1">
      <alignment horizontal="left" vertical="top" wrapText="1"/>
    </xf>
    <xf numFmtId="0" fontId="60" fillId="0" borderId="2" xfId="0" applyFont="1" applyFill="1" applyBorder="1" applyAlignment="1">
      <alignment horizontal="righ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7" fillId="0" borderId="5"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60" fillId="0" borderId="5" xfId="0" applyFont="1" applyFill="1" applyBorder="1" applyAlignment="1">
      <alignment horizontal="center" vertical="top" wrapText="1"/>
    </xf>
    <xf numFmtId="0" fontId="62" fillId="0" borderId="3" xfId="0" applyFont="1" applyFill="1" applyBorder="1" applyAlignment="1">
      <alignment horizontal="center" vertical="top" wrapText="1"/>
    </xf>
    <xf numFmtId="0" fontId="62" fillId="0" borderId="4" xfId="0" applyFont="1" applyFill="1" applyBorder="1" applyAlignment="1">
      <alignment horizontal="center" vertical="top" wrapText="1"/>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60" fillId="0" borderId="14" xfId="0" applyFont="1" applyFill="1" applyBorder="1" applyAlignment="1">
      <alignment horizontal="left" vertical="top" wrapText="1"/>
    </xf>
    <xf numFmtId="0" fontId="60" fillId="0" borderId="8" xfId="0" applyFont="1" applyFill="1" applyBorder="1" applyAlignment="1">
      <alignment horizontal="left" vertical="top" wrapText="1"/>
    </xf>
    <xf numFmtId="2" fontId="4" fillId="0" borderId="0" xfId="0" applyNumberFormat="1" applyFont="1" applyFill="1" applyBorder="1" applyAlignment="1">
      <alignment horizontal="center" vertical="center"/>
    </xf>
    <xf numFmtId="2" fontId="73" fillId="0" borderId="2"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60" fillId="0" borderId="2" xfId="0" applyNumberFormat="1" applyFont="1" applyFill="1" applyBorder="1" applyAlignment="1">
      <alignment horizontal="center" vertical="center"/>
    </xf>
    <xf numFmtId="0" fontId="33" fillId="0" borderId="3" xfId="0" applyFont="1" applyFill="1" applyBorder="1" applyAlignment="1">
      <alignment horizontal="right"/>
    </xf>
    <xf numFmtId="0" fontId="33" fillId="0" borderId="4" xfId="0" applyFont="1" applyFill="1" applyBorder="1" applyAlignment="1">
      <alignment horizontal="right"/>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top" wrapText="1"/>
    </xf>
    <xf numFmtId="0" fontId="8" fillId="0" borderId="4"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8" fillId="0" borderId="2" xfId="0" applyFont="1" applyFill="1" applyBorder="1" applyAlignment="1">
      <alignment horizontal="center" wrapText="1"/>
    </xf>
    <xf numFmtId="1"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6" fillId="0" borderId="5"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76" fillId="0" borderId="4" xfId="0" applyFont="1" applyFill="1" applyBorder="1" applyAlignment="1">
      <alignment horizontal="center" vertical="center" wrapText="1"/>
    </xf>
    <xf numFmtId="0" fontId="58" fillId="3" borderId="55" xfId="0" applyFont="1" applyFill="1" applyBorder="1" applyAlignment="1">
      <alignment horizontal="left" vertical="center"/>
    </xf>
    <xf numFmtId="0" fontId="58" fillId="3" borderId="34" xfId="0" applyFont="1" applyFill="1" applyBorder="1" applyAlignment="1">
      <alignment horizontal="left" vertical="center"/>
    </xf>
    <xf numFmtId="0" fontId="48" fillId="3" borderId="55" xfId="0" applyFont="1" applyFill="1" applyBorder="1" applyAlignment="1">
      <alignment horizontal="left" vertical="center"/>
    </xf>
    <xf numFmtId="0" fontId="48" fillId="3" borderId="34" xfId="0" applyFont="1" applyFill="1" applyBorder="1" applyAlignment="1">
      <alignment horizontal="left" vertical="center"/>
    </xf>
    <xf numFmtId="0" fontId="58" fillId="3" borderId="55" xfId="0" applyFont="1" applyFill="1" applyBorder="1" applyAlignment="1">
      <alignment horizontal="left" vertical="center" wrapText="1"/>
    </xf>
    <xf numFmtId="0" fontId="58" fillId="3" borderId="34" xfId="0" applyFont="1" applyFill="1" applyBorder="1" applyAlignment="1">
      <alignment horizontal="left" vertical="center" wrapText="1"/>
    </xf>
    <xf numFmtId="0" fontId="58" fillId="3" borderId="55" xfId="0" applyFont="1" applyFill="1" applyBorder="1" applyAlignment="1">
      <alignment horizontal="center" vertical="center"/>
    </xf>
    <xf numFmtId="0" fontId="58" fillId="3" borderId="34" xfId="0" applyFont="1" applyFill="1" applyBorder="1" applyAlignment="1">
      <alignment horizontal="center" vertical="center"/>
    </xf>
    <xf numFmtId="0" fontId="30" fillId="3" borderId="55" xfId="0" applyFont="1" applyFill="1" applyBorder="1" applyAlignment="1">
      <alignment horizontal="left" vertical="center"/>
    </xf>
    <xf numFmtId="0" fontId="30" fillId="3" borderId="34" xfId="0" applyFont="1" applyFill="1" applyBorder="1" applyAlignment="1">
      <alignment horizontal="left" vertical="center"/>
    </xf>
    <xf numFmtId="49" fontId="30" fillId="3" borderId="55" xfId="0" applyNumberFormat="1" applyFont="1" applyFill="1" applyBorder="1" applyAlignment="1">
      <alignment horizontal="left" vertical="center"/>
    </xf>
    <xf numFmtId="49" fontId="30" fillId="3" borderId="34" xfId="0" quotePrefix="1" applyNumberFormat="1" applyFont="1" applyFill="1" applyBorder="1" applyAlignment="1">
      <alignment horizontal="left" vertical="center"/>
    </xf>
    <xf numFmtId="0" fontId="58" fillId="3" borderId="36" xfId="0" applyFont="1" applyFill="1" applyBorder="1" applyAlignment="1">
      <alignment horizontal="center" vertical="center"/>
    </xf>
    <xf numFmtId="0" fontId="58" fillId="3" borderId="38" xfId="0" applyFont="1" applyFill="1" applyBorder="1" applyAlignment="1">
      <alignment horizontal="center" vertical="center"/>
    </xf>
    <xf numFmtId="0" fontId="58" fillId="3" borderId="37" xfId="0" applyFont="1" applyFill="1" applyBorder="1" applyAlignment="1">
      <alignment horizontal="center" vertical="center"/>
    </xf>
    <xf numFmtId="2" fontId="0" fillId="3" borderId="0" xfId="0" applyNumberFormat="1" applyFill="1" applyBorder="1" applyAlignment="1">
      <alignment horizontal="center"/>
    </xf>
    <xf numFmtId="0" fontId="0" fillId="3" borderId="0" xfId="0" applyFill="1" applyBorder="1" applyAlignment="1">
      <alignment horizontal="center"/>
    </xf>
    <xf numFmtId="164" fontId="0" fillId="3" borderId="0" xfId="0" applyNumberFormat="1" applyFill="1" applyBorder="1" applyAlignment="1">
      <alignment horizontal="center"/>
    </xf>
    <xf numFmtId="164" fontId="16" fillId="3" borderId="0" xfId="0" applyNumberFormat="1" applyFont="1" applyFill="1" applyBorder="1" applyAlignment="1">
      <alignment horizontal="center"/>
    </xf>
    <xf numFmtId="0" fontId="16" fillId="3" borderId="0" xfId="0" applyFont="1" applyFill="1" applyBorder="1" applyAlignment="1">
      <alignment horizontal="center"/>
    </xf>
    <xf numFmtId="2" fontId="0" fillId="3" borderId="0" xfId="0" applyNumberFormat="1" applyFill="1" applyBorder="1" applyAlignment="1">
      <alignment horizontal="right"/>
    </xf>
    <xf numFmtId="0" fontId="0" fillId="3" borderId="13" xfId="0" applyFill="1" applyBorder="1" applyAlignment="1">
      <alignment horizontal="center"/>
    </xf>
    <xf numFmtId="0" fontId="16" fillId="3" borderId="12" xfId="0" applyFont="1" applyFill="1" applyBorder="1" applyAlignment="1">
      <alignment horizontal="center"/>
    </xf>
    <xf numFmtId="0" fontId="16" fillId="3" borderId="13" xfId="0" applyFont="1" applyFill="1" applyBorder="1" applyAlignment="1">
      <alignment horizontal="center"/>
    </xf>
    <xf numFmtId="0" fontId="16" fillId="3" borderId="0" xfId="0" applyFont="1" applyFill="1" applyBorder="1" applyAlignment="1">
      <alignment horizontal="center" wrapText="1"/>
    </xf>
    <xf numFmtId="0" fontId="16" fillId="3" borderId="8" xfId="0" applyFont="1" applyFill="1" applyBorder="1" applyAlignment="1">
      <alignment horizontal="center"/>
    </xf>
    <xf numFmtId="164" fontId="0" fillId="3" borderId="0" xfId="0" applyNumberFormat="1" applyFill="1" applyBorder="1" applyAlignment="1">
      <alignment horizontal="right"/>
    </xf>
    <xf numFmtId="2" fontId="16" fillId="3" borderId="0" xfId="0" applyNumberFormat="1" applyFont="1" applyFill="1" applyBorder="1" applyAlignment="1">
      <alignment horizontal="center"/>
    </xf>
    <xf numFmtId="0" fontId="17" fillId="0" borderId="53" xfId="0" applyFont="1" applyFill="1" applyBorder="1" applyAlignment="1">
      <alignment horizontal="right" vertical="top"/>
    </xf>
    <xf numFmtId="0" fontId="7" fillId="0" borderId="0"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2" fontId="7" fillId="2"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0" fontId="35" fillId="0" borderId="8" xfId="0" applyFont="1" applyBorder="1" applyAlignment="1">
      <alignment horizontal="center" wrapText="1"/>
    </xf>
    <xf numFmtId="0" fontId="35" fillId="0" borderId="15" xfId="0" applyFont="1" applyBorder="1" applyAlignment="1">
      <alignment horizontal="center" wrapText="1"/>
    </xf>
    <xf numFmtId="0" fontId="7" fillId="2" borderId="5"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quotePrefix="1" applyFont="1" applyFill="1" applyBorder="1" applyAlignment="1">
      <alignment horizontal="left" vertical="top" wrapText="1"/>
    </xf>
    <xf numFmtId="0" fontId="7" fillId="2" borderId="3" xfId="0" quotePrefix="1" applyFont="1" applyFill="1" applyBorder="1" applyAlignment="1">
      <alignment horizontal="left" vertical="top" wrapText="1"/>
    </xf>
    <xf numFmtId="0" fontId="7" fillId="2" borderId="4" xfId="0" quotePrefix="1"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2" fontId="23" fillId="5" borderId="2" xfId="0" applyNumberFormat="1" applyFont="1" applyFill="1" applyBorder="1" applyAlignment="1">
      <alignment horizontal="center" vertical="center" wrapText="1"/>
    </xf>
    <xf numFmtId="2" fontId="6" fillId="5" borderId="2" xfId="0" applyNumberFormat="1" applyFont="1" applyFill="1" applyBorder="1" applyAlignment="1" applyProtection="1">
      <alignment horizontal="center" vertical="center"/>
      <protection locked="0"/>
    </xf>
    <xf numFmtId="2" fontId="6" fillId="5" borderId="2"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2" fontId="6" fillId="5" borderId="3" xfId="0" applyNumberFormat="1" applyFont="1" applyFill="1" applyBorder="1" applyAlignment="1" applyProtection="1">
      <alignment horizontal="center" vertical="center"/>
      <protection locked="0"/>
    </xf>
    <xf numFmtId="0" fontId="68" fillId="5" borderId="2" xfId="0" applyFont="1" applyFill="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78579004728313E-2"/>
          <c:y val="0.11433020776730021"/>
          <c:w val="0.86234453029958602"/>
          <c:h val="0.71882708857688482"/>
        </c:manualLayout>
      </c:layout>
      <c:scatterChart>
        <c:scatterStyle val="lineMarker"/>
        <c:varyColors val="0"/>
        <c:ser>
          <c:idx val="0"/>
          <c:order val="0"/>
          <c:tx>
            <c:strRef>
              <c:f>'Design Nala Bund Drg &amp; Summary'!$W$57</c:f>
              <c:strCache>
                <c:ptCount val="1"/>
                <c:pt idx="0">
                  <c:v>Nala bund</c:v>
                </c:pt>
              </c:strCache>
            </c:strRef>
          </c:tx>
          <c:spPr>
            <a:ln w="12700">
              <a:solidFill>
                <a:srgbClr val="000090"/>
              </a:solidFill>
              <a:prstDash val="solid"/>
            </a:ln>
          </c:spPr>
          <c:marker>
            <c:symbol val="none"/>
          </c:marker>
          <c:xVal>
            <c:numRef>
              <c:f>'Design Nala Bund Drg &amp; Summary'!$V$58:$V$69</c:f>
              <c:numCache>
                <c:formatCode>General</c:formatCode>
                <c:ptCount val="12"/>
                <c:pt idx="0">
                  <c:v>0</c:v>
                </c:pt>
                <c:pt idx="1">
                  <c:v>7.8</c:v>
                </c:pt>
                <c:pt idx="2">
                  <c:v>10.5</c:v>
                </c:pt>
                <c:pt idx="3">
                  <c:v>10.8</c:v>
                </c:pt>
                <c:pt idx="4">
                  <c:v>15</c:v>
                </c:pt>
                <c:pt idx="5">
                  <c:v>15</c:v>
                </c:pt>
                <c:pt idx="6">
                  <c:v>16</c:v>
                </c:pt>
                <c:pt idx="7" formatCode="0.0">
                  <c:v>17</c:v>
                </c:pt>
                <c:pt idx="8">
                  <c:v>18</c:v>
                </c:pt>
                <c:pt idx="9">
                  <c:v>18</c:v>
                </c:pt>
                <c:pt idx="10">
                  <c:v>18</c:v>
                </c:pt>
                <c:pt idx="11">
                  <c:v>28</c:v>
                </c:pt>
              </c:numCache>
            </c:numRef>
          </c:xVal>
          <c:yVal>
            <c:numRef>
              <c:f>'Design Nala Bund Drg &amp; Summary'!$W$58:$W$69</c:f>
              <c:numCache>
                <c:formatCode>0.00</c:formatCode>
                <c:ptCount val="12"/>
                <c:pt idx="0" formatCode="General">
                  <c:v>0</c:v>
                </c:pt>
                <c:pt idx="1">
                  <c:v>2.5999999999999996</c:v>
                </c:pt>
                <c:pt idx="2">
                  <c:v>3.5</c:v>
                </c:pt>
                <c:pt idx="3">
                  <c:v>3.6</c:v>
                </c:pt>
                <c:pt idx="4" formatCode="General">
                  <c:v>5</c:v>
                </c:pt>
                <c:pt idx="5" formatCode="General">
                  <c:v>5</c:v>
                </c:pt>
                <c:pt idx="6" formatCode="General">
                  <c:v>5</c:v>
                </c:pt>
                <c:pt idx="7" formatCode="General">
                  <c:v>5</c:v>
                </c:pt>
                <c:pt idx="8" formatCode="General">
                  <c:v>5</c:v>
                </c:pt>
                <c:pt idx="9" formatCode="General">
                  <c:v>5</c:v>
                </c:pt>
                <c:pt idx="10" formatCode="General">
                  <c:v>5</c:v>
                </c:pt>
                <c:pt idx="11" formatCode="General">
                  <c:v>0</c:v>
                </c:pt>
              </c:numCache>
            </c:numRef>
          </c:yVal>
          <c:smooth val="0"/>
          <c:extLst>
            <c:ext xmlns:c16="http://schemas.microsoft.com/office/drawing/2014/chart" uri="{C3380CC4-5D6E-409C-BE32-E72D297353CC}">
              <c16:uniqueId val="{00000000-C2EE-4209-8FBE-C7F3E68CBFC0}"/>
            </c:ext>
          </c:extLst>
        </c:ser>
        <c:ser>
          <c:idx val="1"/>
          <c:order val="1"/>
          <c:tx>
            <c:strRef>
              <c:f>'Design Nala Bund Drg &amp; Summary'!$X$57</c:f>
              <c:strCache>
                <c:ptCount val="1"/>
                <c:pt idx="0">
                  <c:v>Core Wall</c:v>
                </c:pt>
              </c:strCache>
            </c:strRef>
          </c:tx>
          <c:spPr>
            <a:ln w="12700">
              <a:solidFill>
                <a:srgbClr val="F20884"/>
              </a:solidFill>
              <a:prstDash val="solid"/>
            </a:ln>
          </c:spPr>
          <c:marker>
            <c:symbol val="none"/>
          </c:marker>
          <c:xVal>
            <c:numRef>
              <c:f>'Design Nala Bund Drg &amp; Summary'!$V$58:$V$69</c:f>
              <c:numCache>
                <c:formatCode>General</c:formatCode>
                <c:ptCount val="12"/>
                <c:pt idx="0">
                  <c:v>0</c:v>
                </c:pt>
                <c:pt idx="1">
                  <c:v>7.8</c:v>
                </c:pt>
                <c:pt idx="2">
                  <c:v>10.5</c:v>
                </c:pt>
                <c:pt idx="3">
                  <c:v>10.8</c:v>
                </c:pt>
                <c:pt idx="4">
                  <c:v>15</c:v>
                </c:pt>
                <c:pt idx="5">
                  <c:v>15</c:v>
                </c:pt>
                <c:pt idx="6">
                  <c:v>16</c:v>
                </c:pt>
                <c:pt idx="7" formatCode="0.0">
                  <c:v>17</c:v>
                </c:pt>
                <c:pt idx="8">
                  <c:v>18</c:v>
                </c:pt>
                <c:pt idx="9">
                  <c:v>18</c:v>
                </c:pt>
                <c:pt idx="10">
                  <c:v>18</c:v>
                </c:pt>
                <c:pt idx="11">
                  <c:v>28</c:v>
                </c:pt>
              </c:numCache>
            </c:numRef>
          </c:xVal>
          <c:yVal>
            <c:numRef>
              <c:f>'Design Nala Bund Drg &amp; Summary'!$X$58:$X$69</c:f>
              <c:numCache>
                <c:formatCode>General</c:formatCode>
                <c:ptCount val="12"/>
                <c:pt idx="4">
                  <c:v>0</c:v>
                </c:pt>
                <c:pt idx="5" formatCode="0.00">
                  <c:v>3.5</c:v>
                </c:pt>
                <c:pt idx="6" formatCode="0.00">
                  <c:v>3.5</c:v>
                </c:pt>
                <c:pt idx="7" formatCode="0.00">
                  <c:v>3.5</c:v>
                </c:pt>
                <c:pt idx="8" formatCode="0.00">
                  <c:v>3.5</c:v>
                </c:pt>
                <c:pt idx="9">
                  <c:v>0</c:v>
                </c:pt>
              </c:numCache>
            </c:numRef>
          </c:yVal>
          <c:smooth val="0"/>
          <c:extLst>
            <c:ext xmlns:c16="http://schemas.microsoft.com/office/drawing/2014/chart" uri="{C3380CC4-5D6E-409C-BE32-E72D297353CC}">
              <c16:uniqueId val="{00000001-C2EE-4209-8FBE-C7F3E68CBFC0}"/>
            </c:ext>
          </c:extLst>
        </c:ser>
        <c:ser>
          <c:idx val="2"/>
          <c:order val="2"/>
          <c:tx>
            <c:strRef>
              <c:f>'Design Nala Bund Drg &amp; Summary'!$Y$57</c:f>
              <c:strCache>
                <c:ptCount val="1"/>
                <c:pt idx="0">
                  <c:v>COT</c:v>
                </c:pt>
              </c:strCache>
            </c:strRef>
          </c:tx>
          <c:spPr>
            <a:ln w="12700">
              <a:solidFill>
                <a:srgbClr val="006411"/>
              </a:solidFill>
              <a:prstDash val="solid"/>
            </a:ln>
          </c:spPr>
          <c:marker>
            <c:symbol val="none"/>
          </c:marker>
          <c:xVal>
            <c:numRef>
              <c:f>'Design Nala Bund Drg &amp; Summary'!$V$58:$V$69</c:f>
              <c:numCache>
                <c:formatCode>General</c:formatCode>
                <c:ptCount val="12"/>
                <c:pt idx="0">
                  <c:v>0</c:v>
                </c:pt>
                <c:pt idx="1">
                  <c:v>7.8</c:v>
                </c:pt>
                <c:pt idx="2">
                  <c:v>10.5</c:v>
                </c:pt>
                <c:pt idx="3">
                  <c:v>10.8</c:v>
                </c:pt>
                <c:pt idx="4">
                  <c:v>15</c:v>
                </c:pt>
                <c:pt idx="5">
                  <c:v>15</c:v>
                </c:pt>
                <c:pt idx="6">
                  <c:v>16</c:v>
                </c:pt>
                <c:pt idx="7" formatCode="0.0">
                  <c:v>17</c:v>
                </c:pt>
                <c:pt idx="8">
                  <c:v>18</c:v>
                </c:pt>
                <c:pt idx="9">
                  <c:v>18</c:v>
                </c:pt>
                <c:pt idx="10">
                  <c:v>18</c:v>
                </c:pt>
                <c:pt idx="11">
                  <c:v>28</c:v>
                </c:pt>
              </c:numCache>
            </c:numRef>
          </c:xVal>
          <c:yVal>
            <c:numRef>
              <c:f>'Design Nala Bund Drg &amp; Summary'!$Y$58:$Y$69</c:f>
              <c:numCache>
                <c:formatCode>General</c:formatCode>
                <c:ptCount val="12"/>
                <c:pt idx="4">
                  <c:v>0</c:v>
                </c:pt>
                <c:pt idx="5">
                  <c:v>0</c:v>
                </c:pt>
                <c:pt idx="6" formatCode="0.0">
                  <c:v>-1.5</c:v>
                </c:pt>
                <c:pt idx="7" formatCode="0.0">
                  <c:v>-1.5</c:v>
                </c:pt>
                <c:pt idx="8" formatCode="0.0">
                  <c:v>0</c:v>
                </c:pt>
                <c:pt idx="9" formatCode="0.0">
                  <c:v>0</c:v>
                </c:pt>
                <c:pt idx="10" formatCode="0.0">
                  <c:v>0</c:v>
                </c:pt>
              </c:numCache>
            </c:numRef>
          </c:yVal>
          <c:smooth val="0"/>
          <c:extLst>
            <c:ext xmlns:c16="http://schemas.microsoft.com/office/drawing/2014/chart" uri="{C3380CC4-5D6E-409C-BE32-E72D297353CC}">
              <c16:uniqueId val="{00000002-C2EE-4209-8FBE-C7F3E68CBFC0}"/>
            </c:ext>
          </c:extLst>
        </c:ser>
        <c:ser>
          <c:idx val="3"/>
          <c:order val="3"/>
          <c:tx>
            <c:strRef>
              <c:f>'Design Nala Bund Drg &amp; Summary'!$Z$57</c:f>
              <c:strCache>
                <c:ptCount val="1"/>
                <c:pt idx="0">
                  <c:v>FRL</c:v>
                </c:pt>
              </c:strCache>
            </c:strRef>
          </c:tx>
          <c:spPr>
            <a:ln w="12700">
              <a:prstDash val="dashDot"/>
            </a:ln>
          </c:spPr>
          <c:marker>
            <c:symbol val="none"/>
          </c:marker>
          <c:xVal>
            <c:numRef>
              <c:f>'Design Nala Bund Drg &amp; Summary'!$V$58:$V$69</c:f>
              <c:numCache>
                <c:formatCode>General</c:formatCode>
                <c:ptCount val="12"/>
                <c:pt idx="0">
                  <c:v>0</c:v>
                </c:pt>
                <c:pt idx="1">
                  <c:v>7.8</c:v>
                </c:pt>
                <c:pt idx="2">
                  <c:v>10.5</c:v>
                </c:pt>
                <c:pt idx="3">
                  <c:v>10.8</c:v>
                </c:pt>
                <c:pt idx="4">
                  <c:v>15</c:v>
                </c:pt>
                <c:pt idx="5">
                  <c:v>15</c:v>
                </c:pt>
                <c:pt idx="6">
                  <c:v>16</c:v>
                </c:pt>
                <c:pt idx="7" formatCode="0.0">
                  <c:v>17</c:v>
                </c:pt>
                <c:pt idx="8">
                  <c:v>18</c:v>
                </c:pt>
                <c:pt idx="9">
                  <c:v>18</c:v>
                </c:pt>
                <c:pt idx="10">
                  <c:v>18</c:v>
                </c:pt>
                <c:pt idx="11">
                  <c:v>28</c:v>
                </c:pt>
              </c:numCache>
            </c:numRef>
          </c:xVal>
          <c:yVal>
            <c:numRef>
              <c:f>'Design Nala Bund Drg &amp; Summary'!$Z$58:$Z$66</c:f>
              <c:numCache>
                <c:formatCode>0.00</c:formatCode>
                <c:ptCount val="9"/>
                <c:pt idx="0">
                  <c:v>2.6</c:v>
                </c:pt>
                <c:pt idx="1">
                  <c:v>2.6</c:v>
                </c:pt>
              </c:numCache>
            </c:numRef>
          </c:yVal>
          <c:smooth val="0"/>
          <c:extLst>
            <c:ext xmlns:c16="http://schemas.microsoft.com/office/drawing/2014/chart" uri="{C3380CC4-5D6E-409C-BE32-E72D297353CC}">
              <c16:uniqueId val="{00000003-C2EE-4209-8FBE-C7F3E68CBFC0}"/>
            </c:ext>
          </c:extLst>
        </c:ser>
        <c:ser>
          <c:idx val="4"/>
          <c:order val="4"/>
          <c:tx>
            <c:strRef>
              <c:f>'Design Nala Bund Drg &amp; Summary'!$AA$57</c:f>
              <c:strCache>
                <c:ptCount val="1"/>
                <c:pt idx="0">
                  <c:v>HFL</c:v>
                </c:pt>
              </c:strCache>
            </c:strRef>
          </c:tx>
          <c:spPr>
            <a:ln w="9525">
              <a:solidFill>
                <a:srgbClr val="FF0000"/>
              </a:solidFill>
              <a:prstDash val="lgDashDot"/>
            </a:ln>
          </c:spPr>
          <c:marker>
            <c:symbol val="none"/>
          </c:marker>
          <c:xVal>
            <c:numRef>
              <c:f>'Design Nala Bund Drg &amp; Summary'!$V$58:$V$69</c:f>
              <c:numCache>
                <c:formatCode>General</c:formatCode>
                <c:ptCount val="12"/>
                <c:pt idx="0">
                  <c:v>0</c:v>
                </c:pt>
                <c:pt idx="1">
                  <c:v>7.8</c:v>
                </c:pt>
                <c:pt idx="2">
                  <c:v>10.5</c:v>
                </c:pt>
                <c:pt idx="3">
                  <c:v>10.8</c:v>
                </c:pt>
                <c:pt idx="4">
                  <c:v>15</c:v>
                </c:pt>
                <c:pt idx="5">
                  <c:v>15</c:v>
                </c:pt>
                <c:pt idx="6">
                  <c:v>16</c:v>
                </c:pt>
                <c:pt idx="7" formatCode="0.0">
                  <c:v>17</c:v>
                </c:pt>
                <c:pt idx="8">
                  <c:v>18</c:v>
                </c:pt>
                <c:pt idx="9">
                  <c:v>18</c:v>
                </c:pt>
                <c:pt idx="10">
                  <c:v>18</c:v>
                </c:pt>
                <c:pt idx="11">
                  <c:v>28</c:v>
                </c:pt>
              </c:numCache>
            </c:numRef>
          </c:xVal>
          <c:yVal>
            <c:numRef>
              <c:f>'Design Nala Bund Drg &amp; Summary'!$AA$58:$AA$66</c:f>
              <c:numCache>
                <c:formatCode>0.00</c:formatCode>
                <c:ptCount val="9"/>
                <c:pt idx="0">
                  <c:v>3.5</c:v>
                </c:pt>
                <c:pt idx="1">
                  <c:v>3.5</c:v>
                </c:pt>
                <c:pt idx="2">
                  <c:v>3.5</c:v>
                </c:pt>
              </c:numCache>
            </c:numRef>
          </c:yVal>
          <c:smooth val="0"/>
          <c:extLst>
            <c:ext xmlns:c16="http://schemas.microsoft.com/office/drawing/2014/chart" uri="{C3380CC4-5D6E-409C-BE32-E72D297353CC}">
              <c16:uniqueId val="{00000004-C2EE-4209-8FBE-C7F3E68CBFC0}"/>
            </c:ext>
          </c:extLst>
        </c:ser>
        <c:ser>
          <c:idx val="5"/>
          <c:order val="5"/>
          <c:tx>
            <c:strRef>
              <c:f>'Design Nala Bund Drg &amp; Summary'!$AB$57</c:f>
              <c:strCache>
                <c:ptCount val="1"/>
                <c:pt idx="0">
                  <c:v>stonepitching</c:v>
                </c:pt>
              </c:strCache>
            </c:strRef>
          </c:tx>
          <c:spPr>
            <a:ln w="22225" cmpd="dbl">
              <a:solidFill>
                <a:srgbClr val="C00000"/>
              </a:solidFill>
            </a:ln>
            <a:effectLst>
              <a:glow rad="38100">
                <a:schemeClr val="accent1">
                  <a:alpha val="44000"/>
                </a:schemeClr>
              </a:glow>
              <a:innerShdw blurRad="63500" dist="50800" dir="13500000">
                <a:srgbClr val="FF0000">
                  <a:alpha val="50000"/>
                </a:srgbClr>
              </a:innerShdw>
            </a:effectLst>
          </c:spPr>
          <c:marker>
            <c:symbol val="none"/>
          </c:marker>
          <c:xVal>
            <c:numRef>
              <c:f>'Design Nala Bund Drg &amp; Summary'!$V$58:$V$69</c:f>
              <c:numCache>
                <c:formatCode>General</c:formatCode>
                <c:ptCount val="12"/>
                <c:pt idx="0">
                  <c:v>0</c:v>
                </c:pt>
                <c:pt idx="1">
                  <c:v>7.8</c:v>
                </c:pt>
                <c:pt idx="2">
                  <c:v>10.5</c:v>
                </c:pt>
                <c:pt idx="3">
                  <c:v>10.8</c:v>
                </c:pt>
                <c:pt idx="4">
                  <c:v>15</c:v>
                </c:pt>
                <c:pt idx="5">
                  <c:v>15</c:v>
                </c:pt>
                <c:pt idx="6">
                  <c:v>16</c:v>
                </c:pt>
                <c:pt idx="7" formatCode="0.0">
                  <c:v>17</c:v>
                </c:pt>
                <c:pt idx="8">
                  <c:v>18</c:v>
                </c:pt>
                <c:pt idx="9">
                  <c:v>18</c:v>
                </c:pt>
                <c:pt idx="10">
                  <c:v>18</c:v>
                </c:pt>
                <c:pt idx="11">
                  <c:v>28</c:v>
                </c:pt>
              </c:numCache>
            </c:numRef>
          </c:xVal>
          <c:yVal>
            <c:numRef>
              <c:f>'Design Nala Bund Drg &amp; Summary'!$AB$58:$AB$61</c:f>
              <c:numCache>
                <c:formatCode>0.00</c:formatCode>
                <c:ptCount val="4"/>
                <c:pt idx="0" formatCode="General">
                  <c:v>0</c:v>
                </c:pt>
                <c:pt idx="1">
                  <c:v>2.6</c:v>
                </c:pt>
                <c:pt idx="2">
                  <c:v>3.5</c:v>
                </c:pt>
                <c:pt idx="3">
                  <c:v>3.6</c:v>
                </c:pt>
              </c:numCache>
            </c:numRef>
          </c:yVal>
          <c:smooth val="0"/>
          <c:extLst>
            <c:ext xmlns:c16="http://schemas.microsoft.com/office/drawing/2014/chart" uri="{C3380CC4-5D6E-409C-BE32-E72D297353CC}">
              <c16:uniqueId val="{00000005-C2EE-4209-8FBE-C7F3E68CBFC0}"/>
            </c:ext>
          </c:extLst>
        </c:ser>
        <c:dLbls>
          <c:showLegendKey val="0"/>
          <c:showVal val="0"/>
          <c:showCatName val="0"/>
          <c:showSerName val="0"/>
          <c:showPercent val="0"/>
          <c:showBubbleSize val="0"/>
        </c:dLbls>
        <c:axId val="79920128"/>
        <c:axId val="79942400"/>
      </c:scatterChart>
      <c:valAx>
        <c:axId val="7992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IN" sz="925" b="0" i="0" u="none" strike="noStrike" baseline="0">
                <a:solidFill>
                  <a:srgbClr val="000000"/>
                </a:solidFill>
                <a:latin typeface="Arial"/>
                <a:ea typeface="Arial"/>
                <a:cs typeface="Arial"/>
              </a:defRPr>
            </a:pPr>
            <a:endParaRPr lang="en-US"/>
          </a:p>
        </c:txPr>
        <c:crossAx val="79942400"/>
        <c:crosses val="autoZero"/>
        <c:crossBetween val="midCat"/>
        <c:majorUnit val="2"/>
      </c:valAx>
      <c:valAx>
        <c:axId val="799424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lang="en-IN" sz="925" b="0" i="0" u="none" strike="noStrike" baseline="0">
                <a:solidFill>
                  <a:srgbClr val="000000"/>
                </a:solidFill>
                <a:latin typeface="Arial"/>
                <a:ea typeface="Arial"/>
                <a:cs typeface="Arial"/>
              </a:defRPr>
            </a:pPr>
            <a:endParaRPr lang="en-US"/>
          </a:p>
        </c:txPr>
        <c:crossAx val="79920128"/>
        <c:crosses val="autoZero"/>
        <c:crossBetween val="midCat"/>
      </c:valAx>
      <c:spPr>
        <a:noFill/>
        <a:ln w="25400">
          <a:noFill/>
        </a:ln>
      </c:spPr>
    </c:plotArea>
    <c:legend>
      <c:legendPos val="r"/>
      <c:layout>
        <c:manualLayout>
          <c:xMode val="edge"/>
          <c:yMode val="edge"/>
          <c:x val="0.11010553476594299"/>
          <c:y val="0.88358188669695059"/>
          <c:w val="0.83021439735763358"/>
          <c:h val="0.11641817080557237"/>
        </c:manualLayout>
      </c:layout>
      <c:overlay val="0"/>
      <c:spPr>
        <a:solidFill>
          <a:srgbClr val="FFFFFF"/>
        </a:solidFill>
        <a:ln w="3175">
          <a:solidFill>
            <a:srgbClr val="000000"/>
          </a:solidFill>
          <a:prstDash val="dash"/>
        </a:ln>
      </c:spPr>
      <c:txPr>
        <a:bodyPr/>
        <a:lstStyle/>
        <a:p>
          <a:pPr>
            <a:defRPr lang="en-IN"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IN" sz="1400" b="1" i="0" u="none" strike="noStrike" baseline="0">
                <a:solidFill>
                  <a:srgbClr val="333333"/>
                </a:solidFill>
                <a:latin typeface="Calibri"/>
                <a:ea typeface="Calibri"/>
                <a:cs typeface="Calibri"/>
              </a:defRPr>
            </a:pPr>
            <a:r>
              <a:rPr lang="en-US"/>
              <a:t>Plan of earthen dam</a:t>
            </a:r>
          </a:p>
        </c:rich>
      </c:tx>
      <c:layout>
        <c:manualLayout>
          <c:xMode val="edge"/>
          <c:yMode val="edge"/>
          <c:x val="0.38881528760427297"/>
          <c:y val="0"/>
        </c:manualLayout>
      </c:layout>
      <c:overlay val="0"/>
      <c:spPr>
        <a:noFill/>
        <a:ln w="25400">
          <a:noFill/>
        </a:ln>
      </c:spPr>
    </c:title>
    <c:autoTitleDeleted val="0"/>
    <c:plotArea>
      <c:layout>
        <c:manualLayout>
          <c:layoutTarget val="inner"/>
          <c:xMode val="edge"/>
          <c:yMode val="edge"/>
          <c:x val="6.934412792538483E-2"/>
          <c:y val="0.1017557351628976"/>
          <c:w val="0.67296043462436816"/>
          <c:h val="0.84863657263727865"/>
        </c:manualLayout>
      </c:layout>
      <c:scatterChart>
        <c:scatterStyle val="lineMarker"/>
        <c:varyColors val="0"/>
        <c:ser>
          <c:idx val="0"/>
          <c:order val="0"/>
          <c:tx>
            <c:strRef>
              <c:f>'Design Nala Bund Drg &amp; Summary'!$X$43</c:f>
              <c:strCache>
                <c:ptCount val="1"/>
                <c:pt idx="0">
                  <c:v>U/S</c:v>
                </c:pt>
              </c:strCache>
            </c:strRef>
          </c:tx>
          <c:spPr>
            <a:ln w="6350" cap="rnd">
              <a:solidFill>
                <a:schemeClr val="tx2">
                  <a:lumMod val="50000"/>
                </a:schemeClr>
              </a:solidFill>
              <a:round/>
            </a:ln>
            <a:effectLst/>
          </c:spPr>
          <c:marker>
            <c:symbol val="none"/>
          </c:marker>
          <c:dLbls>
            <c:spPr>
              <a:noFill/>
              <a:ln w="25400">
                <a:noFill/>
              </a:ln>
            </c:spPr>
            <c:txPr>
              <a:bodyPr/>
              <a:lstStyle/>
              <a:p>
                <a:pPr>
                  <a:defRPr lang="en-IN"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'Design Nala Bund Drg &amp; Summary'!$W$44:$W$54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Summary'!$X$44:$X$54</c:f>
              <c:numCache>
                <c:formatCode>General</c:formatCode>
                <c:ptCount val="11"/>
                <c:pt idx="0">
                  <c:v>1.5</c:v>
                </c:pt>
                <c:pt idx="1">
                  <c:v>10.8</c:v>
                </c:pt>
                <c:pt idx="2">
                  <c:v>12.899999999999999</c:v>
                </c:pt>
                <c:pt idx="3">
                  <c:v>14.100000000000001</c:v>
                </c:pt>
                <c:pt idx="4">
                  <c:v>15.299999999999999</c:v>
                </c:pt>
                <c:pt idx="5">
                  <c:v>16.200000000000003</c:v>
                </c:pt>
                <c:pt idx="6">
                  <c:v>16.5</c:v>
                </c:pt>
                <c:pt idx="7">
                  <c:v>16.200000000000003</c:v>
                </c:pt>
                <c:pt idx="8">
                  <c:v>15.299999999999999</c:v>
                </c:pt>
                <c:pt idx="9">
                  <c:v>11.399999999999999</c:v>
                </c:pt>
                <c:pt idx="10">
                  <c:v>1.5</c:v>
                </c:pt>
              </c:numCache>
            </c:numRef>
          </c:yVal>
          <c:smooth val="0"/>
          <c:extLst>
            <c:ext xmlns:c16="http://schemas.microsoft.com/office/drawing/2014/chart" uri="{C3380CC4-5D6E-409C-BE32-E72D297353CC}">
              <c16:uniqueId val="{00000000-2531-4D66-A703-535753E87B6F}"/>
            </c:ext>
          </c:extLst>
        </c:ser>
        <c:ser>
          <c:idx val="1"/>
          <c:order val="1"/>
          <c:tx>
            <c:strRef>
              <c:f>'Design Nala Bund Drg &amp; Summary'!$Y$43</c:f>
              <c:strCache>
                <c:ptCount val="1"/>
                <c:pt idx="0">
                  <c:v>TW</c:v>
                </c:pt>
              </c:strCache>
            </c:strRef>
          </c:tx>
          <c:spPr>
            <a:ln w="19050" cap="rnd">
              <a:solidFill>
                <a:schemeClr val="tx1"/>
              </a:solidFill>
              <a:round/>
            </a:ln>
            <a:effectLst/>
          </c:spPr>
          <c:marker>
            <c:symbol val="none"/>
          </c:marker>
          <c:xVal>
            <c:numRef>
              <c:f>'Design Nala Bund Drg &amp; Summary'!$W$44:$W$54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Summary'!$Y$44:$Y$54</c:f>
              <c:numCache>
                <c:formatCode>General</c:formatCode>
                <c:ptCount val="11"/>
                <c:pt idx="0">
                  <c:v>1.5</c:v>
                </c:pt>
                <c:pt idx="1">
                  <c:v>1.5</c:v>
                </c:pt>
                <c:pt idx="2">
                  <c:v>1.5</c:v>
                </c:pt>
                <c:pt idx="3">
                  <c:v>1.5</c:v>
                </c:pt>
                <c:pt idx="4">
                  <c:v>1.5</c:v>
                </c:pt>
                <c:pt idx="5">
                  <c:v>1.5</c:v>
                </c:pt>
                <c:pt idx="6">
                  <c:v>1.5</c:v>
                </c:pt>
                <c:pt idx="7">
                  <c:v>1.5</c:v>
                </c:pt>
                <c:pt idx="8">
                  <c:v>1.5</c:v>
                </c:pt>
                <c:pt idx="9">
                  <c:v>1.5</c:v>
                </c:pt>
                <c:pt idx="10">
                  <c:v>1.5</c:v>
                </c:pt>
              </c:numCache>
            </c:numRef>
          </c:yVal>
          <c:smooth val="0"/>
          <c:extLst>
            <c:ext xmlns:c16="http://schemas.microsoft.com/office/drawing/2014/chart" uri="{C3380CC4-5D6E-409C-BE32-E72D297353CC}">
              <c16:uniqueId val="{00000001-2531-4D66-A703-535753E87B6F}"/>
            </c:ext>
          </c:extLst>
        </c:ser>
        <c:ser>
          <c:idx val="2"/>
          <c:order val="2"/>
          <c:tx>
            <c:strRef>
              <c:f>'Design Nala Bund Drg &amp; Summary'!$Z$43</c:f>
              <c:strCache>
                <c:ptCount val="1"/>
                <c:pt idx="0">
                  <c:v>TW</c:v>
                </c:pt>
              </c:strCache>
            </c:strRef>
          </c:tx>
          <c:spPr>
            <a:ln w="19050" cap="rnd">
              <a:solidFill>
                <a:schemeClr val="tx1"/>
              </a:solidFill>
              <a:round/>
            </a:ln>
            <a:effectLst/>
          </c:spPr>
          <c:marker>
            <c:symbol val="none"/>
          </c:marker>
          <c:xVal>
            <c:numRef>
              <c:f>'Design Nala Bund Drg &amp; Summary'!$W$44:$W$54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Summary'!$Z$44:$Z$54</c:f>
              <c:numCache>
                <c:formatCode>General</c:formatCode>
                <c:ptCount val="11"/>
                <c:pt idx="0">
                  <c:v>-1.5</c:v>
                </c:pt>
                <c:pt idx="1">
                  <c:v>-1.5</c:v>
                </c:pt>
                <c:pt idx="2">
                  <c:v>-1.5</c:v>
                </c:pt>
                <c:pt idx="3">
                  <c:v>-1.5</c:v>
                </c:pt>
                <c:pt idx="4">
                  <c:v>-1.5</c:v>
                </c:pt>
                <c:pt idx="5">
                  <c:v>-1.5</c:v>
                </c:pt>
                <c:pt idx="6">
                  <c:v>-1.5</c:v>
                </c:pt>
                <c:pt idx="7">
                  <c:v>-1.5</c:v>
                </c:pt>
                <c:pt idx="8">
                  <c:v>-1.5</c:v>
                </c:pt>
                <c:pt idx="9">
                  <c:v>-1.5</c:v>
                </c:pt>
                <c:pt idx="10">
                  <c:v>-1.5</c:v>
                </c:pt>
              </c:numCache>
            </c:numRef>
          </c:yVal>
          <c:smooth val="0"/>
          <c:extLst>
            <c:ext xmlns:c16="http://schemas.microsoft.com/office/drawing/2014/chart" uri="{C3380CC4-5D6E-409C-BE32-E72D297353CC}">
              <c16:uniqueId val="{00000002-2531-4D66-A703-535753E87B6F}"/>
            </c:ext>
          </c:extLst>
        </c:ser>
        <c:ser>
          <c:idx val="3"/>
          <c:order val="3"/>
          <c:tx>
            <c:strRef>
              <c:f>'Design Nala Bund Drg &amp; Summary'!$AA$43</c:f>
              <c:strCache>
                <c:ptCount val="1"/>
                <c:pt idx="0">
                  <c:v>D/S</c:v>
                </c:pt>
              </c:strCache>
            </c:strRef>
          </c:tx>
          <c:spPr>
            <a:ln w="12700" cap="rnd">
              <a:solidFill>
                <a:srgbClr val="FF0000"/>
              </a:solidFill>
              <a:round/>
            </a:ln>
            <a:effectLst/>
          </c:spPr>
          <c:marker>
            <c:symbol val="none"/>
          </c:marker>
          <c:dLbls>
            <c:spPr>
              <a:noFill/>
              <a:ln w="25400">
                <a:noFill/>
              </a:ln>
            </c:spPr>
            <c:txPr>
              <a:bodyPr/>
              <a:lstStyle/>
              <a:p>
                <a:pPr>
                  <a:defRPr lang="en-IN"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'Design Nala Bund Drg &amp; Summary'!$W$44:$W$54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Summary'!$AA$44:$AA$54</c:f>
              <c:numCache>
                <c:formatCode>General</c:formatCode>
                <c:ptCount val="11"/>
                <c:pt idx="0">
                  <c:v>-1.5</c:v>
                </c:pt>
                <c:pt idx="1">
                  <c:v>-7.7</c:v>
                </c:pt>
                <c:pt idx="2">
                  <c:v>-9.1</c:v>
                </c:pt>
                <c:pt idx="3">
                  <c:v>-9.9</c:v>
                </c:pt>
                <c:pt idx="4">
                  <c:v>-10.7</c:v>
                </c:pt>
                <c:pt idx="5">
                  <c:v>-11.3</c:v>
                </c:pt>
                <c:pt idx="6">
                  <c:v>-11.5</c:v>
                </c:pt>
                <c:pt idx="7">
                  <c:v>-11.3</c:v>
                </c:pt>
                <c:pt idx="8">
                  <c:v>-10.7</c:v>
                </c:pt>
                <c:pt idx="9">
                  <c:v>-8.1</c:v>
                </c:pt>
                <c:pt idx="10">
                  <c:v>-1.5</c:v>
                </c:pt>
              </c:numCache>
            </c:numRef>
          </c:yVal>
          <c:smooth val="0"/>
          <c:extLst>
            <c:ext xmlns:c16="http://schemas.microsoft.com/office/drawing/2014/chart" uri="{C3380CC4-5D6E-409C-BE32-E72D297353CC}">
              <c16:uniqueId val="{00000003-2531-4D66-A703-535753E87B6F}"/>
            </c:ext>
          </c:extLst>
        </c:ser>
        <c:ser>
          <c:idx val="4"/>
          <c:order val="4"/>
          <c:tx>
            <c:strRef>
              <c:f>'Design Nala Bund Drg &amp; Summary'!$AB$43</c:f>
              <c:strCache>
                <c:ptCount val="1"/>
                <c:pt idx="0">
                  <c:v>Rock toe line</c:v>
                </c:pt>
              </c:strCache>
            </c:strRef>
          </c:tx>
          <c:spPr>
            <a:ln w="19050">
              <a:solidFill>
                <a:schemeClr val="tx1"/>
              </a:solidFill>
              <a:prstDash val="dashDot"/>
            </a:ln>
          </c:spPr>
          <c:marker>
            <c:symbol val="none"/>
          </c:marker>
          <c:xVal>
            <c:numRef>
              <c:f>'Design Nala Bund Drg &amp; Summary'!$W$44:$W$54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Summary'!$AB$44:$AB$54</c:f>
              <c:numCache>
                <c:formatCode>0.00</c:formatCode>
                <c:ptCount val="11"/>
                <c:pt idx="0" formatCode="General">
                  <c:v>-1.5</c:v>
                </c:pt>
                <c:pt idx="1">
                  <c:v>-5.7625000000000002</c:v>
                </c:pt>
                <c:pt idx="2">
                  <c:v>-6.7249999999999996</c:v>
                </c:pt>
                <c:pt idx="3">
                  <c:v>-7.2750000000000004</c:v>
                </c:pt>
                <c:pt idx="4">
                  <c:v>-7.8249999999999993</c:v>
                </c:pt>
                <c:pt idx="5">
                  <c:v>-8.2375000000000007</c:v>
                </c:pt>
                <c:pt idx="6">
                  <c:v>-8.375</c:v>
                </c:pt>
                <c:pt idx="7">
                  <c:v>-8.2375000000000007</c:v>
                </c:pt>
                <c:pt idx="8">
                  <c:v>-7.8249999999999993</c:v>
                </c:pt>
                <c:pt idx="9">
                  <c:v>-6.0374999999999996</c:v>
                </c:pt>
                <c:pt idx="10" formatCode="General">
                  <c:v>-1.5</c:v>
                </c:pt>
              </c:numCache>
            </c:numRef>
          </c:yVal>
          <c:smooth val="0"/>
          <c:extLst>
            <c:ext xmlns:c16="http://schemas.microsoft.com/office/drawing/2014/chart" uri="{C3380CC4-5D6E-409C-BE32-E72D297353CC}">
              <c16:uniqueId val="{00000004-2531-4D66-A703-535753E87B6F}"/>
            </c:ext>
          </c:extLst>
        </c:ser>
        <c:dLbls>
          <c:showLegendKey val="0"/>
          <c:showVal val="0"/>
          <c:showCatName val="0"/>
          <c:showSerName val="0"/>
          <c:showPercent val="0"/>
          <c:showBubbleSize val="0"/>
        </c:dLbls>
        <c:axId val="80428416"/>
        <c:axId val="80458880"/>
      </c:scatterChart>
      <c:valAx>
        <c:axId val="80428416"/>
        <c:scaling>
          <c:orientation val="minMax"/>
        </c:scaling>
        <c:delete val="0"/>
        <c:axPos val="b"/>
        <c:majorGridlines>
          <c:spPr>
            <a:ln w="3175" cap="flat" cmpd="sng" algn="ctr">
              <a:solidFill>
                <a:schemeClr val="tx1">
                  <a:alpha val="60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lang="en-IN" sz="900" b="0" i="0" u="none" strike="noStrike" baseline="0">
                <a:solidFill>
                  <a:srgbClr val="333333"/>
                </a:solidFill>
                <a:latin typeface="Calibri"/>
                <a:ea typeface="Calibri"/>
                <a:cs typeface="Calibri"/>
              </a:defRPr>
            </a:pPr>
            <a:endParaRPr lang="en-US"/>
          </a:p>
        </c:txPr>
        <c:crossAx val="80458880"/>
        <c:crosses val="autoZero"/>
        <c:crossBetween val="midCat"/>
      </c:valAx>
      <c:valAx>
        <c:axId val="80458880"/>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lang="en-IN" sz="900" b="0" i="0" u="none" strike="noStrike" baseline="0">
                <a:solidFill>
                  <a:srgbClr val="333333"/>
                </a:solidFill>
                <a:latin typeface="Calibri"/>
                <a:ea typeface="Calibri"/>
                <a:cs typeface="Calibri"/>
              </a:defRPr>
            </a:pPr>
            <a:endParaRPr lang="en-US"/>
          </a:p>
        </c:txPr>
        <c:crossAx val="80428416"/>
        <c:crosses val="autoZero"/>
        <c:crossBetween val="midCat"/>
      </c:valAx>
      <c:spPr>
        <a:noFill/>
        <a:ln>
          <a:solidFill>
            <a:schemeClr val="tx1"/>
          </a:solidFill>
        </a:ln>
        <a:effectLst/>
      </c:spPr>
    </c:plotArea>
    <c:legend>
      <c:legendPos val="b"/>
      <c:layout>
        <c:manualLayout>
          <c:xMode val="edge"/>
          <c:yMode val="edge"/>
          <c:x val="0.82283436989373349"/>
          <c:y val="0.11986923644284521"/>
          <c:w val="0.15053862663205148"/>
          <c:h val="0.79746298459103726"/>
        </c:manualLayout>
      </c:layout>
      <c:overlay val="0"/>
      <c:spPr>
        <a:noFill/>
        <a:ln w="25400">
          <a:solidFill>
            <a:schemeClr val="tx1"/>
          </a:solidFill>
          <a:prstDash val="sysDot"/>
        </a:ln>
      </c:spPr>
      <c:txPr>
        <a:bodyPr/>
        <a:lstStyle/>
        <a:p>
          <a:pPr>
            <a:defRPr lang="en-IN" sz="900"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44" r="0.75000000000000344"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IN" sz="1600" b="1" i="0" u="none" strike="noStrike" baseline="0">
                <a:solidFill>
                  <a:srgbClr val="000000"/>
                </a:solidFill>
                <a:latin typeface="Calibri"/>
                <a:ea typeface="Calibri"/>
                <a:cs typeface="Calibri"/>
              </a:defRPr>
            </a:pPr>
            <a:r>
              <a:rPr lang="en-US"/>
              <a:t>L-section of Earthen dam</a:t>
            </a:r>
          </a:p>
        </c:rich>
      </c:tx>
      <c:layout>
        <c:manualLayout>
          <c:xMode val="edge"/>
          <c:yMode val="edge"/>
          <c:x val="0.32663840988948661"/>
          <c:y val="3.1893681033053952E-3"/>
        </c:manualLayout>
      </c:layout>
      <c:overlay val="0"/>
      <c:spPr>
        <a:noFill/>
        <a:ln w="25400">
          <a:noFill/>
        </a:ln>
      </c:spPr>
    </c:title>
    <c:autoTitleDeleted val="0"/>
    <c:plotArea>
      <c:layout>
        <c:manualLayout>
          <c:layoutTarget val="inner"/>
          <c:xMode val="edge"/>
          <c:yMode val="edge"/>
          <c:x val="6.5536743474076051E-2"/>
          <c:y val="1.9390604674056625E-2"/>
          <c:w val="0.90847457627118933"/>
          <c:h val="0.84177544839502272"/>
        </c:manualLayout>
      </c:layout>
      <c:scatterChart>
        <c:scatterStyle val="lineMarker"/>
        <c:varyColors val="0"/>
        <c:ser>
          <c:idx val="5"/>
          <c:order val="0"/>
          <c:tx>
            <c:strRef>
              <c:f>'Design Nala Bund Drg &amp; Summary'!$Y$10</c:f>
              <c:strCache>
                <c:ptCount val="1"/>
                <c:pt idx="0">
                  <c:v>GL</c:v>
                </c:pt>
              </c:strCache>
            </c:strRef>
          </c:tx>
          <c:spPr>
            <a:ln w="19050" cap="rnd">
              <a:solidFill>
                <a:schemeClr val="accent6"/>
              </a:solidFill>
              <a:round/>
            </a:ln>
            <a:effectLst/>
          </c:spPr>
          <c:marker>
            <c:symbol val="none"/>
          </c:marker>
          <c:xVal>
            <c:numRef>
              <c:f>'Design Nala Bund Drg &amp; Summary'!$X$12:$X$27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Summary'!$Y$12:$Y$27</c:f>
              <c:numCache>
                <c:formatCode>0.0</c:formatCode>
                <c:ptCount val="16"/>
                <c:pt idx="0">
                  <c:v>100</c:v>
                </c:pt>
                <c:pt idx="1">
                  <c:v>96.9</c:v>
                </c:pt>
                <c:pt idx="2">
                  <c:v>96.2</c:v>
                </c:pt>
                <c:pt idx="3">
                  <c:v>95.8</c:v>
                </c:pt>
                <c:pt idx="4">
                  <c:v>95.4</c:v>
                </c:pt>
                <c:pt idx="5">
                  <c:v>95.1</c:v>
                </c:pt>
                <c:pt idx="6">
                  <c:v>95</c:v>
                </c:pt>
                <c:pt idx="7">
                  <c:v>95.1</c:v>
                </c:pt>
                <c:pt idx="8">
                  <c:v>95.4</c:v>
                </c:pt>
                <c:pt idx="9">
                  <c:v>96.7</c:v>
                </c:pt>
                <c:pt idx="10">
                  <c:v>100</c:v>
                </c:pt>
                <c:pt idx="11">
                  <c:v>100.3</c:v>
                </c:pt>
                <c:pt idx="12">
                  <c:v>97.6</c:v>
                </c:pt>
                <c:pt idx="13">
                  <c:v>97.6</c:v>
                </c:pt>
                <c:pt idx="14">
                  <c:v>100.3</c:v>
                </c:pt>
                <c:pt idx="15">
                  <c:v>100.3</c:v>
                </c:pt>
              </c:numCache>
            </c:numRef>
          </c:yVal>
          <c:smooth val="0"/>
          <c:extLst>
            <c:ext xmlns:c16="http://schemas.microsoft.com/office/drawing/2014/chart" uri="{C3380CC4-5D6E-409C-BE32-E72D297353CC}">
              <c16:uniqueId val="{00000000-1887-41CF-9CC2-34DDA71470AD}"/>
            </c:ext>
          </c:extLst>
        </c:ser>
        <c:ser>
          <c:idx val="6"/>
          <c:order val="1"/>
          <c:tx>
            <c:strRef>
              <c:f>'Design Nala Bund Drg &amp; Summary'!$Z$10</c:f>
              <c:strCache>
                <c:ptCount val="1"/>
                <c:pt idx="0">
                  <c:v>FRL</c:v>
                </c:pt>
              </c:strCache>
            </c:strRef>
          </c:tx>
          <c:spPr>
            <a:ln w="19050" cap="rnd">
              <a:solidFill>
                <a:schemeClr val="tx1">
                  <a:alpha val="59000"/>
                </a:schemeClr>
              </a:solidFill>
              <a:prstDash val="dashDot"/>
              <a:round/>
            </a:ln>
            <a:effectLst/>
          </c:spPr>
          <c:marker>
            <c:symbol val="none"/>
          </c:marker>
          <c:xVal>
            <c:numRef>
              <c:f>'Design Nala Bund Drg &amp; Summary'!$X$12:$X$27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Summary'!$Z$12:$Z$27</c:f>
              <c:numCache>
                <c:formatCode>0.0</c:formatCode>
                <c:ptCount val="16"/>
                <c:pt idx="0">
                  <c:v>97.6</c:v>
                </c:pt>
                <c:pt idx="1">
                  <c:v>97.6</c:v>
                </c:pt>
                <c:pt idx="2">
                  <c:v>97.6</c:v>
                </c:pt>
                <c:pt idx="3">
                  <c:v>97.6</c:v>
                </c:pt>
                <c:pt idx="4">
                  <c:v>97.6</c:v>
                </c:pt>
                <c:pt idx="5">
                  <c:v>97.6</c:v>
                </c:pt>
                <c:pt idx="6">
                  <c:v>97.6</c:v>
                </c:pt>
                <c:pt idx="7">
                  <c:v>97.6</c:v>
                </c:pt>
                <c:pt idx="8">
                  <c:v>97.6</c:v>
                </c:pt>
                <c:pt idx="9">
                  <c:v>97.6</c:v>
                </c:pt>
                <c:pt idx="10">
                  <c:v>97.6</c:v>
                </c:pt>
                <c:pt idx="11">
                  <c:v>97.6</c:v>
                </c:pt>
                <c:pt idx="12">
                  <c:v>97.6</c:v>
                </c:pt>
                <c:pt idx="13">
                  <c:v>97.6</c:v>
                </c:pt>
              </c:numCache>
            </c:numRef>
          </c:yVal>
          <c:smooth val="0"/>
          <c:extLst>
            <c:ext xmlns:c16="http://schemas.microsoft.com/office/drawing/2014/chart" uri="{C3380CC4-5D6E-409C-BE32-E72D297353CC}">
              <c16:uniqueId val="{00000001-1887-41CF-9CC2-34DDA71470AD}"/>
            </c:ext>
          </c:extLst>
        </c:ser>
        <c:ser>
          <c:idx val="7"/>
          <c:order val="2"/>
          <c:tx>
            <c:strRef>
              <c:f>'Design Nala Bund Drg &amp; Summary'!$AA$9</c:f>
              <c:strCache>
                <c:ptCount val="1"/>
                <c:pt idx="0">
                  <c:v>Settelment Allowance</c:v>
                </c:pt>
              </c:strCache>
            </c:strRef>
          </c:tx>
          <c:spPr>
            <a:ln w="9525" cap="rnd">
              <a:solidFill>
                <a:schemeClr val="tx1">
                  <a:alpha val="68000"/>
                </a:schemeClr>
              </a:solidFill>
              <a:prstDash val="lgDash"/>
              <a:round/>
            </a:ln>
            <a:effectLst/>
          </c:spPr>
          <c:marker>
            <c:symbol val="none"/>
          </c:marker>
          <c:xVal>
            <c:numRef>
              <c:f>'Design Nala Bund Drg &amp; Summary'!$X$12:$X$27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Summary'!$AA$12:$AA$27</c:f>
              <c:numCache>
                <c:formatCode>0.00</c:formatCode>
                <c:ptCount val="16"/>
                <c:pt idx="0" formatCode="General">
                  <c:v>100</c:v>
                </c:pt>
                <c:pt idx="1">
                  <c:v>100.465</c:v>
                </c:pt>
                <c:pt idx="2">
                  <c:v>100.38</c:v>
                </c:pt>
                <c:pt idx="3">
                  <c:v>100.42</c:v>
                </c:pt>
                <c:pt idx="4">
                  <c:v>100.46</c:v>
                </c:pt>
                <c:pt idx="5">
                  <c:v>100.49</c:v>
                </c:pt>
                <c:pt idx="6">
                  <c:v>100.5</c:v>
                </c:pt>
                <c:pt idx="7">
                  <c:v>100.49</c:v>
                </c:pt>
                <c:pt idx="8">
                  <c:v>100.46</c:v>
                </c:pt>
                <c:pt idx="9">
                  <c:v>100.33</c:v>
                </c:pt>
                <c:pt idx="10">
                  <c:v>100</c:v>
                </c:pt>
              </c:numCache>
            </c:numRef>
          </c:yVal>
          <c:smooth val="0"/>
          <c:extLst>
            <c:ext xmlns:c16="http://schemas.microsoft.com/office/drawing/2014/chart" uri="{C3380CC4-5D6E-409C-BE32-E72D297353CC}">
              <c16:uniqueId val="{00000002-1887-41CF-9CC2-34DDA71470AD}"/>
            </c:ext>
          </c:extLst>
        </c:ser>
        <c:ser>
          <c:idx val="8"/>
          <c:order val="3"/>
          <c:tx>
            <c:strRef>
              <c:f>'Design Nala Bund Drg &amp; Summary'!$AB$10</c:f>
              <c:strCache>
                <c:ptCount val="1"/>
                <c:pt idx="0">
                  <c:v>TBL</c:v>
                </c:pt>
              </c:strCache>
            </c:strRef>
          </c:tx>
          <c:spPr>
            <a:ln w="19050" cap="rnd">
              <a:solidFill>
                <a:schemeClr val="accent3">
                  <a:lumMod val="60000"/>
                </a:schemeClr>
              </a:solidFill>
              <a:round/>
            </a:ln>
            <a:effectLst/>
          </c:spPr>
          <c:marker>
            <c:symbol val="none"/>
          </c:marker>
          <c:xVal>
            <c:numRef>
              <c:f>'Design Nala Bund Drg &amp; Summary'!$X$12:$X$27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Summary'!$AB$12:$AB$27</c:f>
              <c:numCache>
                <c:formatCode>General</c:formatCode>
                <c:ptCount val="16"/>
                <c:pt idx="0">
                  <c:v>100</c:v>
                </c:pt>
                <c:pt idx="1">
                  <c:v>100</c:v>
                </c:pt>
                <c:pt idx="2">
                  <c:v>100</c:v>
                </c:pt>
                <c:pt idx="3">
                  <c:v>100</c:v>
                </c:pt>
                <c:pt idx="4">
                  <c:v>100</c:v>
                </c:pt>
                <c:pt idx="5">
                  <c:v>100</c:v>
                </c:pt>
                <c:pt idx="6">
                  <c:v>100</c:v>
                </c:pt>
                <c:pt idx="7">
                  <c:v>100</c:v>
                </c:pt>
                <c:pt idx="8">
                  <c:v>100</c:v>
                </c:pt>
                <c:pt idx="9">
                  <c:v>100</c:v>
                </c:pt>
                <c:pt idx="10">
                  <c:v>100</c:v>
                </c:pt>
              </c:numCache>
            </c:numRef>
          </c:yVal>
          <c:smooth val="0"/>
          <c:extLst>
            <c:ext xmlns:c16="http://schemas.microsoft.com/office/drawing/2014/chart" uri="{C3380CC4-5D6E-409C-BE32-E72D297353CC}">
              <c16:uniqueId val="{00000003-1887-41CF-9CC2-34DDA71470AD}"/>
            </c:ext>
          </c:extLst>
        </c:ser>
        <c:ser>
          <c:idx val="9"/>
          <c:order val="4"/>
          <c:tx>
            <c:strRef>
              <c:f>'Design Nala Bund Drg &amp; Summary'!$AC$10</c:f>
              <c:strCache>
                <c:ptCount val="1"/>
                <c:pt idx="0">
                  <c:v>HFL</c:v>
                </c:pt>
              </c:strCache>
            </c:strRef>
          </c:tx>
          <c:spPr>
            <a:ln w="9525" cap="rnd">
              <a:solidFill>
                <a:schemeClr val="tx1">
                  <a:alpha val="65000"/>
                </a:schemeClr>
              </a:solidFill>
              <a:prstDash val="dash"/>
              <a:round/>
            </a:ln>
            <a:effectLst/>
          </c:spPr>
          <c:marker>
            <c:symbol val="none"/>
          </c:marker>
          <c:xVal>
            <c:numRef>
              <c:f>'Design Nala Bund Drg &amp; Summary'!$X$12:$X$27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Summary'!$AC$12:$AC$27</c:f>
              <c:numCache>
                <c:formatCode>0.00</c:formatCode>
                <c:ptCount val="16"/>
                <c:pt idx="0" formatCode="0.0">
                  <c:v>98.5</c:v>
                </c:pt>
                <c:pt idx="1">
                  <c:v>98.5</c:v>
                </c:pt>
                <c:pt idx="2">
                  <c:v>98.5</c:v>
                </c:pt>
                <c:pt idx="3">
                  <c:v>98.5</c:v>
                </c:pt>
                <c:pt idx="4">
                  <c:v>98.5</c:v>
                </c:pt>
                <c:pt idx="5">
                  <c:v>98.5</c:v>
                </c:pt>
                <c:pt idx="6">
                  <c:v>98.5</c:v>
                </c:pt>
                <c:pt idx="7">
                  <c:v>98.5</c:v>
                </c:pt>
                <c:pt idx="8">
                  <c:v>98.5</c:v>
                </c:pt>
                <c:pt idx="9">
                  <c:v>98.5</c:v>
                </c:pt>
                <c:pt idx="10">
                  <c:v>98.5</c:v>
                </c:pt>
                <c:pt idx="11">
                  <c:v>98.5</c:v>
                </c:pt>
                <c:pt idx="12">
                  <c:v>98.5</c:v>
                </c:pt>
                <c:pt idx="13">
                  <c:v>98.5</c:v>
                </c:pt>
              </c:numCache>
            </c:numRef>
          </c:yVal>
          <c:smooth val="0"/>
          <c:extLst>
            <c:ext xmlns:c16="http://schemas.microsoft.com/office/drawing/2014/chart" uri="{C3380CC4-5D6E-409C-BE32-E72D297353CC}">
              <c16:uniqueId val="{00000004-1887-41CF-9CC2-34DDA71470AD}"/>
            </c:ext>
          </c:extLst>
        </c:ser>
        <c:ser>
          <c:idx val="0"/>
          <c:order val="5"/>
          <c:tx>
            <c:strRef>
              <c:f>'Design Nala Bund Drg &amp; Summary'!$Y$10</c:f>
              <c:strCache>
                <c:ptCount val="1"/>
                <c:pt idx="0">
                  <c:v>GL</c:v>
                </c:pt>
              </c:strCache>
            </c:strRef>
          </c:tx>
          <c:spPr>
            <a:ln w="19050" cap="rnd">
              <a:solidFill>
                <a:schemeClr val="accent1"/>
              </a:solidFill>
              <a:round/>
            </a:ln>
            <a:effectLst/>
          </c:spPr>
          <c:marker>
            <c:symbol val="none"/>
          </c:marker>
          <c:dLbls>
            <c:dLbl>
              <c:idx val="5"/>
              <c:layout>
                <c:manualLayout>
                  <c:x val="-3.5608308605341442E-2"/>
                  <c:y val="3.1340202115080401E-2"/>
                </c:manualLayout>
              </c:layout>
              <c:tx>
                <c:rich>
                  <a:bodyPr/>
                  <a:lstStyle/>
                  <a:p>
                    <a:r>
                      <a:rPr lang="en-US"/>
                      <a:t>95.1</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7.1142433234421376E-2"/>
                      <c:h val="4.2837237719004759E-2"/>
                    </c:manualLayout>
                  </c15:layout>
                </c:ext>
                <c:ext xmlns:c16="http://schemas.microsoft.com/office/drawing/2014/chart" uri="{C3380CC4-5D6E-409C-BE32-E72D297353CC}">
                  <c16:uniqueId val="{00000005-1887-41CF-9CC2-34DDA71470AD}"/>
                </c:ext>
              </c:extLst>
            </c:dLbl>
            <c:dLbl>
              <c:idx val="6"/>
              <c:layout>
                <c:manualLayout>
                  <c:x val="-1.0385756676557863E-2"/>
                  <c:y val="9.896905931077995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1887-41CF-9CC2-34DDA71470AD}"/>
                </c:ext>
              </c:extLst>
            </c:dLbl>
            <c:dLbl>
              <c:idx val="7"/>
              <c:layout>
                <c:manualLayout>
                  <c:x val="-7.4183976261128527E-3"/>
                  <c:y val="3.298968643692689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887-41CF-9CC2-34DDA71470AD}"/>
                </c:ext>
              </c:extLst>
            </c:dLbl>
            <c:dLbl>
              <c:idx val="8"/>
              <c:layout>
                <c:manualLayout>
                  <c:x val="-5.8910162002945524E-3"/>
                  <c:y val="1.913620861983238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0C8-4307-B750-13E1B0D7E9C7}"/>
                </c:ext>
              </c:extLst>
            </c:dLbl>
            <c:dLbl>
              <c:idx val="10"/>
              <c:layout>
                <c:manualLayout>
                  <c:x val="-1.9145802650957344E-2"/>
                  <c:y val="-4.784052154958091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0C8-4307-B750-13E1B0D7E9C7}"/>
                </c:ext>
              </c:extLst>
            </c:dLbl>
            <c:dLbl>
              <c:idx val="11"/>
              <c:layout>
                <c:manualLayout>
                  <c:x val="-7.3637702503681884E-3"/>
                  <c:y val="-1.913620861983239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0C8-4307-B750-13E1B0D7E9C7}"/>
                </c:ext>
              </c:extLst>
            </c:dLbl>
            <c:spPr>
              <a:noFill/>
              <a:ln w="25400">
                <a:noFill/>
              </a:ln>
            </c:spPr>
            <c:txPr>
              <a:bodyPr/>
              <a:lstStyle/>
              <a:p>
                <a:pPr>
                  <a:defRPr lang="en-IN" sz="900" b="0" i="0" u="none" strike="noStrike" baseline="0">
                    <a:solidFill>
                      <a:srgbClr val="333333"/>
                    </a:solidFill>
                    <a:latin typeface="Calibri"/>
                    <a:ea typeface="Calibri"/>
                    <a:cs typeface="Calibri"/>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ext>
            </c:extLst>
          </c:dLbls>
          <c:xVal>
            <c:numRef>
              <c:f>'Design Nala Bund Drg &amp; Summary'!$X$12:$X$29</c:f>
              <c:numCache>
                <c:formatCode>General</c:formatCode>
                <c:ptCount val="18"/>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Summary'!$Y$12:$Y$29</c:f>
              <c:numCache>
                <c:formatCode>0.0</c:formatCode>
                <c:ptCount val="18"/>
                <c:pt idx="0">
                  <c:v>100</c:v>
                </c:pt>
                <c:pt idx="1">
                  <c:v>96.9</c:v>
                </c:pt>
                <c:pt idx="2">
                  <c:v>96.2</c:v>
                </c:pt>
                <c:pt idx="3">
                  <c:v>95.8</c:v>
                </c:pt>
                <c:pt idx="4">
                  <c:v>95.4</c:v>
                </c:pt>
                <c:pt idx="5">
                  <c:v>95.1</c:v>
                </c:pt>
                <c:pt idx="6">
                  <c:v>95</c:v>
                </c:pt>
                <c:pt idx="7">
                  <c:v>95.1</c:v>
                </c:pt>
                <c:pt idx="8">
                  <c:v>95.4</c:v>
                </c:pt>
                <c:pt idx="9">
                  <c:v>96.7</c:v>
                </c:pt>
                <c:pt idx="10">
                  <c:v>100</c:v>
                </c:pt>
                <c:pt idx="11">
                  <c:v>100.3</c:v>
                </c:pt>
                <c:pt idx="12">
                  <c:v>97.6</c:v>
                </c:pt>
                <c:pt idx="13">
                  <c:v>97.6</c:v>
                </c:pt>
                <c:pt idx="14">
                  <c:v>100.3</c:v>
                </c:pt>
                <c:pt idx="15">
                  <c:v>100.3</c:v>
                </c:pt>
              </c:numCache>
            </c:numRef>
          </c:yVal>
          <c:smooth val="0"/>
          <c:extLst>
            <c:ext xmlns:c16="http://schemas.microsoft.com/office/drawing/2014/chart" uri="{C3380CC4-5D6E-409C-BE32-E72D297353CC}">
              <c16:uniqueId val="{00000008-1887-41CF-9CC2-34DDA71470AD}"/>
            </c:ext>
          </c:extLst>
        </c:ser>
        <c:ser>
          <c:idx val="1"/>
          <c:order val="6"/>
          <c:tx>
            <c:strRef>
              <c:f>'Design Nala Bund Drg &amp; Summary'!$Z$10</c:f>
              <c:strCache>
                <c:ptCount val="1"/>
                <c:pt idx="0">
                  <c:v>FRL</c:v>
                </c:pt>
              </c:strCache>
            </c:strRef>
          </c:tx>
          <c:spPr>
            <a:ln w="19050" cap="rnd">
              <a:solidFill>
                <a:srgbClr val="00B0F0">
                  <a:alpha val="59000"/>
                </a:srgbClr>
              </a:solidFill>
              <a:prstDash val="dashDot"/>
              <a:round/>
            </a:ln>
            <a:effectLst/>
          </c:spPr>
          <c:marker>
            <c:symbol val="none"/>
          </c:marker>
          <c:xVal>
            <c:numRef>
              <c:f>'Design Nala Bund Drg &amp; Summary'!$X$12:$X$27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Summary'!$Z$12:$Z$27</c:f>
              <c:numCache>
                <c:formatCode>0.0</c:formatCode>
                <c:ptCount val="16"/>
                <c:pt idx="0">
                  <c:v>97.6</c:v>
                </c:pt>
                <c:pt idx="1">
                  <c:v>97.6</c:v>
                </c:pt>
                <c:pt idx="2">
                  <c:v>97.6</c:v>
                </c:pt>
                <c:pt idx="3">
                  <c:v>97.6</c:v>
                </c:pt>
                <c:pt idx="4">
                  <c:v>97.6</c:v>
                </c:pt>
                <c:pt idx="5">
                  <c:v>97.6</c:v>
                </c:pt>
                <c:pt idx="6">
                  <c:v>97.6</c:v>
                </c:pt>
                <c:pt idx="7">
                  <c:v>97.6</c:v>
                </c:pt>
                <c:pt idx="8">
                  <c:v>97.6</c:v>
                </c:pt>
                <c:pt idx="9">
                  <c:v>97.6</c:v>
                </c:pt>
                <c:pt idx="10">
                  <c:v>97.6</c:v>
                </c:pt>
                <c:pt idx="11">
                  <c:v>97.6</c:v>
                </c:pt>
                <c:pt idx="12">
                  <c:v>97.6</c:v>
                </c:pt>
                <c:pt idx="13">
                  <c:v>97.6</c:v>
                </c:pt>
              </c:numCache>
            </c:numRef>
          </c:yVal>
          <c:smooth val="0"/>
          <c:extLst>
            <c:ext xmlns:c16="http://schemas.microsoft.com/office/drawing/2014/chart" uri="{C3380CC4-5D6E-409C-BE32-E72D297353CC}">
              <c16:uniqueId val="{00000009-1887-41CF-9CC2-34DDA71470AD}"/>
            </c:ext>
          </c:extLst>
        </c:ser>
        <c:ser>
          <c:idx val="2"/>
          <c:order val="7"/>
          <c:tx>
            <c:strRef>
              <c:f>'Design Nala Bund Drg &amp; Summary'!$AA$9</c:f>
              <c:strCache>
                <c:ptCount val="1"/>
                <c:pt idx="0">
                  <c:v>Settelment Allowance</c:v>
                </c:pt>
              </c:strCache>
            </c:strRef>
          </c:tx>
          <c:spPr>
            <a:ln w="9525" cap="rnd">
              <a:solidFill>
                <a:schemeClr val="tx1">
                  <a:alpha val="68000"/>
                </a:schemeClr>
              </a:solidFill>
              <a:prstDash val="lgDash"/>
              <a:round/>
            </a:ln>
            <a:effectLst/>
          </c:spPr>
          <c:marker>
            <c:symbol val="none"/>
          </c:marker>
          <c:xVal>
            <c:numRef>
              <c:f>'Design Nala Bund Drg &amp; Summary'!$X$12:$X$27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Summary'!$AA$12:$AA$27</c:f>
              <c:numCache>
                <c:formatCode>0.00</c:formatCode>
                <c:ptCount val="16"/>
                <c:pt idx="0" formatCode="General">
                  <c:v>100</c:v>
                </c:pt>
                <c:pt idx="1">
                  <c:v>100.465</c:v>
                </c:pt>
                <c:pt idx="2">
                  <c:v>100.38</c:v>
                </c:pt>
                <c:pt idx="3">
                  <c:v>100.42</c:v>
                </c:pt>
                <c:pt idx="4">
                  <c:v>100.46</c:v>
                </c:pt>
                <c:pt idx="5">
                  <c:v>100.49</c:v>
                </c:pt>
                <c:pt idx="6">
                  <c:v>100.5</c:v>
                </c:pt>
                <c:pt idx="7">
                  <c:v>100.49</c:v>
                </c:pt>
                <c:pt idx="8">
                  <c:v>100.46</c:v>
                </c:pt>
                <c:pt idx="9">
                  <c:v>100.33</c:v>
                </c:pt>
                <c:pt idx="10">
                  <c:v>100</c:v>
                </c:pt>
              </c:numCache>
            </c:numRef>
          </c:yVal>
          <c:smooth val="0"/>
          <c:extLst>
            <c:ext xmlns:c16="http://schemas.microsoft.com/office/drawing/2014/chart" uri="{C3380CC4-5D6E-409C-BE32-E72D297353CC}">
              <c16:uniqueId val="{0000000A-1887-41CF-9CC2-34DDA71470AD}"/>
            </c:ext>
          </c:extLst>
        </c:ser>
        <c:ser>
          <c:idx val="3"/>
          <c:order val="8"/>
          <c:tx>
            <c:strRef>
              <c:f>'Design Nala Bund Drg &amp; Summary'!$AB$10</c:f>
              <c:strCache>
                <c:ptCount val="1"/>
                <c:pt idx="0">
                  <c:v>TBL</c:v>
                </c:pt>
              </c:strCache>
            </c:strRef>
          </c:tx>
          <c:spPr>
            <a:ln w="19050" cap="rnd">
              <a:solidFill>
                <a:schemeClr val="accent4"/>
              </a:solidFill>
              <a:round/>
            </a:ln>
            <a:effectLst/>
          </c:spPr>
          <c:marker>
            <c:symbol val="none"/>
          </c:marker>
          <c:xVal>
            <c:numRef>
              <c:f>'Design Nala Bund Drg &amp; Summary'!$X$12:$X$29</c:f>
              <c:numCache>
                <c:formatCode>General</c:formatCode>
                <c:ptCount val="18"/>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Summary'!$AB$12:$AB$27</c:f>
              <c:numCache>
                <c:formatCode>General</c:formatCode>
                <c:ptCount val="16"/>
                <c:pt idx="0">
                  <c:v>100</c:v>
                </c:pt>
                <c:pt idx="1">
                  <c:v>100</c:v>
                </c:pt>
                <c:pt idx="2">
                  <c:v>100</c:v>
                </c:pt>
                <c:pt idx="3">
                  <c:v>100</c:v>
                </c:pt>
                <c:pt idx="4">
                  <c:v>100</c:v>
                </c:pt>
                <c:pt idx="5">
                  <c:v>100</c:v>
                </c:pt>
                <c:pt idx="6">
                  <c:v>100</c:v>
                </c:pt>
                <c:pt idx="7">
                  <c:v>100</c:v>
                </c:pt>
                <c:pt idx="8">
                  <c:v>100</c:v>
                </c:pt>
                <c:pt idx="9">
                  <c:v>100</c:v>
                </c:pt>
                <c:pt idx="10">
                  <c:v>100</c:v>
                </c:pt>
              </c:numCache>
            </c:numRef>
          </c:yVal>
          <c:smooth val="0"/>
          <c:extLst>
            <c:ext xmlns:c16="http://schemas.microsoft.com/office/drawing/2014/chart" uri="{C3380CC4-5D6E-409C-BE32-E72D297353CC}">
              <c16:uniqueId val="{0000000B-1887-41CF-9CC2-34DDA71470AD}"/>
            </c:ext>
          </c:extLst>
        </c:ser>
        <c:ser>
          <c:idx val="4"/>
          <c:order val="9"/>
          <c:tx>
            <c:strRef>
              <c:f>'Design Nala Bund Drg &amp; Summary'!$AC$10</c:f>
              <c:strCache>
                <c:ptCount val="1"/>
                <c:pt idx="0">
                  <c:v>HFL</c:v>
                </c:pt>
              </c:strCache>
            </c:strRef>
          </c:tx>
          <c:spPr>
            <a:ln w="9525" cap="rnd">
              <a:solidFill>
                <a:schemeClr val="accent6">
                  <a:lumMod val="75000"/>
                  <a:alpha val="65000"/>
                </a:schemeClr>
              </a:solidFill>
              <a:prstDash val="dash"/>
              <a:round/>
            </a:ln>
            <a:effectLst/>
          </c:spPr>
          <c:marker>
            <c:symbol val="none"/>
          </c:marker>
          <c:xVal>
            <c:numRef>
              <c:f>'Design Nala Bund Drg &amp; Summary'!$X$12:$X$27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Summary'!$AC$12:$AC$27</c:f>
              <c:numCache>
                <c:formatCode>0.00</c:formatCode>
                <c:ptCount val="16"/>
                <c:pt idx="0" formatCode="0.0">
                  <c:v>98.5</c:v>
                </c:pt>
                <c:pt idx="1">
                  <c:v>98.5</c:v>
                </c:pt>
                <c:pt idx="2">
                  <c:v>98.5</c:v>
                </c:pt>
                <c:pt idx="3">
                  <c:v>98.5</c:v>
                </c:pt>
                <c:pt idx="4">
                  <c:v>98.5</c:v>
                </c:pt>
                <c:pt idx="5">
                  <c:v>98.5</c:v>
                </c:pt>
                <c:pt idx="6">
                  <c:v>98.5</c:v>
                </c:pt>
                <c:pt idx="7">
                  <c:v>98.5</c:v>
                </c:pt>
                <c:pt idx="8">
                  <c:v>98.5</c:v>
                </c:pt>
                <c:pt idx="9">
                  <c:v>98.5</c:v>
                </c:pt>
                <c:pt idx="10">
                  <c:v>98.5</c:v>
                </c:pt>
                <c:pt idx="11">
                  <c:v>98.5</c:v>
                </c:pt>
                <c:pt idx="12">
                  <c:v>98.5</c:v>
                </c:pt>
                <c:pt idx="13">
                  <c:v>98.5</c:v>
                </c:pt>
              </c:numCache>
            </c:numRef>
          </c:yVal>
          <c:smooth val="0"/>
          <c:extLst>
            <c:ext xmlns:c16="http://schemas.microsoft.com/office/drawing/2014/chart" uri="{C3380CC4-5D6E-409C-BE32-E72D297353CC}">
              <c16:uniqueId val="{0000000C-1887-41CF-9CC2-34DDA71470AD}"/>
            </c:ext>
          </c:extLst>
        </c:ser>
        <c:dLbls>
          <c:showLegendKey val="0"/>
          <c:showVal val="0"/>
          <c:showCatName val="0"/>
          <c:showSerName val="0"/>
          <c:showPercent val="0"/>
          <c:showBubbleSize val="0"/>
        </c:dLbls>
        <c:axId val="80836864"/>
        <c:axId val="80850944"/>
      </c:scatterChart>
      <c:valAx>
        <c:axId val="80836864"/>
        <c:scaling>
          <c:orientation val="minMax"/>
        </c:scaling>
        <c:delete val="0"/>
        <c:axPos val="b"/>
        <c:majorGridlines>
          <c:spPr>
            <a:ln w="9525" cap="flat" cmpd="sng" algn="ctr">
              <a:solidFill>
                <a:schemeClr val="tx1">
                  <a:alpha val="58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lang="en-IN" sz="900" b="0" i="0" u="none" strike="noStrike" baseline="0">
                <a:solidFill>
                  <a:srgbClr val="333333"/>
                </a:solidFill>
                <a:latin typeface="Calibri"/>
                <a:ea typeface="Calibri"/>
                <a:cs typeface="Calibri"/>
              </a:defRPr>
            </a:pPr>
            <a:endParaRPr lang="en-US"/>
          </a:p>
        </c:txPr>
        <c:crossAx val="80850944"/>
        <c:crosses val="autoZero"/>
        <c:crossBetween val="midCat"/>
      </c:valAx>
      <c:valAx>
        <c:axId val="80850944"/>
        <c:scaling>
          <c:orientation val="minMax"/>
        </c:scaling>
        <c:delete val="0"/>
        <c:axPos val="l"/>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lang="en-IN" sz="900" b="0" i="0" u="none" strike="noStrike" baseline="0">
                <a:solidFill>
                  <a:srgbClr val="333333"/>
                </a:solidFill>
                <a:latin typeface="Calibri"/>
                <a:ea typeface="Calibri"/>
                <a:cs typeface="Calibri"/>
              </a:defRPr>
            </a:pPr>
            <a:endParaRPr lang="en-US"/>
          </a:p>
        </c:txPr>
        <c:crossAx val="80836864"/>
        <c:crosses val="autoZero"/>
        <c:crossBetween val="midCat"/>
      </c:valAx>
      <c:spPr>
        <a:noFill/>
        <a:ln>
          <a:solidFill>
            <a:schemeClr val="tx1"/>
          </a:solidFill>
        </a:ln>
        <a:effectLst/>
      </c:spPr>
    </c:plotArea>
    <c:legend>
      <c:legendPos val="b"/>
      <c:legendEntry>
        <c:idx val="2"/>
        <c:delete val="1"/>
      </c:legendEntry>
      <c:legendEntry>
        <c:idx val="5"/>
        <c:delete val="1"/>
      </c:legendEntry>
      <c:legendEntry>
        <c:idx val="6"/>
        <c:delete val="1"/>
      </c:legendEntry>
      <c:legendEntry>
        <c:idx val="8"/>
        <c:delete val="1"/>
      </c:legendEntry>
      <c:legendEntry>
        <c:idx val="9"/>
        <c:delete val="1"/>
      </c:legendEntry>
      <c:layout>
        <c:manualLayout>
          <c:xMode val="edge"/>
          <c:yMode val="edge"/>
          <c:x val="0.6795409048445249"/>
          <c:y val="0.75982811450894572"/>
          <c:w val="0.29161356525349774"/>
          <c:h val="0.15934859305377524"/>
        </c:manualLayout>
      </c:layout>
      <c:overlay val="0"/>
      <c:spPr>
        <a:solidFill>
          <a:schemeClr val="bg1"/>
        </a:solidFill>
        <a:ln>
          <a:solidFill>
            <a:schemeClr val="tx1">
              <a:alpha val="58000"/>
            </a:schemeClr>
          </a:solidFill>
        </a:ln>
        <a:effectLst/>
      </c:spPr>
      <c:txPr>
        <a:bodyPr/>
        <a:lstStyle/>
        <a:p>
          <a:pPr>
            <a:defRPr lang="en-IN" sz="690" b="1" i="0" u="none" strike="noStrike" baseline="0">
              <a:solidFill>
                <a:srgbClr val="333333"/>
              </a:solidFill>
              <a:latin typeface="Calibri"/>
              <a:ea typeface="Calibri"/>
              <a:cs typeface="Calibri"/>
            </a:defRPr>
          </a:pPr>
          <a:endParaRPr lang="en-US"/>
        </a:p>
      </c:txPr>
    </c:legend>
    <c:plotVisOnly val="1"/>
    <c:dispBlanksAs val="gap"/>
    <c:showDLblsOverMax val="0"/>
  </c:chart>
  <c:spPr>
    <a:noFill/>
    <a:ln w="9525"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22" r="0.75000000000000322"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78579004728313E-2"/>
          <c:y val="0.11433020776730021"/>
          <c:w val="0.86234453029958646"/>
          <c:h val="0.71882708857688504"/>
        </c:manualLayout>
      </c:layout>
      <c:scatterChart>
        <c:scatterStyle val="lineMarker"/>
        <c:varyColors val="0"/>
        <c:ser>
          <c:idx val="0"/>
          <c:order val="0"/>
          <c:tx>
            <c:strRef>
              <c:f>'Design Nala Bund Drg &amp; Summ (P)'!$W$57</c:f>
              <c:strCache>
                <c:ptCount val="1"/>
                <c:pt idx="0">
                  <c:v>Nala bund</c:v>
                </c:pt>
              </c:strCache>
            </c:strRef>
          </c:tx>
          <c:spPr>
            <a:ln w="12700">
              <a:solidFill>
                <a:srgbClr val="000090"/>
              </a:solidFill>
              <a:prstDash val="solid"/>
            </a:ln>
          </c:spPr>
          <c:marker>
            <c:symbol val="none"/>
          </c:marker>
          <c:xVal>
            <c:numRef>
              <c:f>'Design Nala Bund Drg &amp; Summ (P)'!$V$58:$V$69</c:f>
              <c:numCache>
                <c:formatCode>General</c:formatCode>
                <c:ptCount val="12"/>
                <c:pt idx="0">
                  <c:v>0</c:v>
                </c:pt>
                <c:pt idx="1">
                  <c:v>8.6999999999999993</c:v>
                </c:pt>
                <c:pt idx="2">
                  <c:v>11.399999999999999</c:v>
                </c:pt>
                <c:pt idx="3">
                  <c:v>11.7</c:v>
                </c:pt>
                <c:pt idx="4">
                  <c:v>15</c:v>
                </c:pt>
                <c:pt idx="5">
                  <c:v>15</c:v>
                </c:pt>
                <c:pt idx="6">
                  <c:v>16</c:v>
                </c:pt>
                <c:pt idx="7" formatCode="0.0">
                  <c:v>17</c:v>
                </c:pt>
                <c:pt idx="8">
                  <c:v>18</c:v>
                </c:pt>
                <c:pt idx="9">
                  <c:v>18</c:v>
                </c:pt>
                <c:pt idx="10">
                  <c:v>18</c:v>
                </c:pt>
                <c:pt idx="11">
                  <c:v>28</c:v>
                </c:pt>
              </c:numCache>
            </c:numRef>
          </c:xVal>
          <c:yVal>
            <c:numRef>
              <c:f>'Design Nala Bund Drg &amp; Summ (P)'!$W$58:$W$69</c:f>
              <c:numCache>
                <c:formatCode>0.00</c:formatCode>
                <c:ptCount val="12"/>
                <c:pt idx="0" formatCode="General">
                  <c:v>0</c:v>
                </c:pt>
                <c:pt idx="1">
                  <c:v>2.8999999999999995</c:v>
                </c:pt>
                <c:pt idx="2">
                  <c:v>3.8</c:v>
                </c:pt>
                <c:pt idx="3">
                  <c:v>3.8999999999999995</c:v>
                </c:pt>
                <c:pt idx="4" formatCode="General">
                  <c:v>5</c:v>
                </c:pt>
                <c:pt idx="5" formatCode="General">
                  <c:v>5</c:v>
                </c:pt>
                <c:pt idx="6" formatCode="General">
                  <c:v>5</c:v>
                </c:pt>
                <c:pt idx="7" formatCode="General">
                  <c:v>5</c:v>
                </c:pt>
                <c:pt idx="8" formatCode="General">
                  <c:v>5</c:v>
                </c:pt>
                <c:pt idx="9" formatCode="General">
                  <c:v>5</c:v>
                </c:pt>
                <c:pt idx="10" formatCode="General">
                  <c:v>5</c:v>
                </c:pt>
                <c:pt idx="11" formatCode="General">
                  <c:v>0</c:v>
                </c:pt>
              </c:numCache>
            </c:numRef>
          </c:yVal>
          <c:smooth val="0"/>
          <c:extLst>
            <c:ext xmlns:c16="http://schemas.microsoft.com/office/drawing/2014/chart" uri="{C3380CC4-5D6E-409C-BE32-E72D297353CC}">
              <c16:uniqueId val="{00000000-C2EE-4209-8FBE-C7F3E68CBFC0}"/>
            </c:ext>
          </c:extLst>
        </c:ser>
        <c:ser>
          <c:idx val="1"/>
          <c:order val="1"/>
          <c:tx>
            <c:strRef>
              <c:f>'Design Nala Bund Drg &amp; Summ (P)'!$X$57</c:f>
              <c:strCache>
                <c:ptCount val="1"/>
                <c:pt idx="0">
                  <c:v>Core Wall</c:v>
                </c:pt>
              </c:strCache>
            </c:strRef>
          </c:tx>
          <c:spPr>
            <a:ln w="12700">
              <a:solidFill>
                <a:srgbClr val="F20884"/>
              </a:solidFill>
              <a:prstDash val="solid"/>
            </a:ln>
          </c:spPr>
          <c:marker>
            <c:symbol val="none"/>
          </c:marker>
          <c:xVal>
            <c:numRef>
              <c:f>'Design Nala Bund Drg &amp; Summ (P)'!$V$58:$V$69</c:f>
              <c:numCache>
                <c:formatCode>General</c:formatCode>
                <c:ptCount val="12"/>
                <c:pt idx="0">
                  <c:v>0</c:v>
                </c:pt>
                <c:pt idx="1">
                  <c:v>8.6999999999999993</c:v>
                </c:pt>
                <c:pt idx="2">
                  <c:v>11.399999999999999</c:v>
                </c:pt>
                <c:pt idx="3">
                  <c:v>11.7</c:v>
                </c:pt>
                <c:pt idx="4">
                  <c:v>15</c:v>
                </c:pt>
                <c:pt idx="5">
                  <c:v>15</c:v>
                </c:pt>
                <c:pt idx="6">
                  <c:v>16</c:v>
                </c:pt>
                <c:pt idx="7" formatCode="0.0">
                  <c:v>17</c:v>
                </c:pt>
                <c:pt idx="8">
                  <c:v>18</c:v>
                </c:pt>
                <c:pt idx="9">
                  <c:v>18</c:v>
                </c:pt>
                <c:pt idx="10">
                  <c:v>18</c:v>
                </c:pt>
                <c:pt idx="11">
                  <c:v>28</c:v>
                </c:pt>
              </c:numCache>
            </c:numRef>
          </c:xVal>
          <c:yVal>
            <c:numRef>
              <c:f>'Design Nala Bund Drg &amp; Summ (P)'!$X$58:$X$69</c:f>
              <c:numCache>
                <c:formatCode>General</c:formatCode>
                <c:ptCount val="12"/>
                <c:pt idx="4">
                  <c:v>0</c:v>
                </c:pt>
                <c:pt idx="5" formatCode="0.00">
                  <c:v>3.8</c:v>
                </c:pt>
                <c:pt idx="6" formatCode="0.00">
                  <c:v>3.8</c:v>
                </c:pt>
                <c:pt idx="7" formatCode="0.00">
                  <c:v>3.8</c:v>
                </c:pt>
                <c:pt idx="8" formatCode="0.00">
                  <c:v>3.8</c:v>
                </c:pt>
                <c:pt idx="9">
                  <c:v>0</c:v>
                </c:pt>
              </c:numCache>
            </c:numRef>
          </c:yVal>
          <c:smooth val="0"/>
          <c:extLst>
            <c:ext xmlns:c16="http://schemas.microsoft.com/office/drawing/2014/chart" uri="{C3380CC4-5D6E-409C-BE32-E72D297353CC}">
              <c16:uniqueId val="{00000001-C2EE-4209-8FBE-C7F3E68CBFC0}"/>
            </c:ext>
          </c:extLst>
        </c:ser>
        <c:ser>
          <c:idx val="2"/>
          <c:order val="2"/>
          <c:tx>
            <c:strRef>
              <c:f>'Design Nala Bund Drg &amp; Summ (P)'!$Y$57</c:f>
              <c:strCache>
                <c:ptCount val="1"/>
                <c:pt idx="0">
                  <c:v>COT</c:v>
                </c:pt>
              </c:strCache>
            </c:strRef>
          </c:tx>
          <c:spPr>
            <a:ln w="12700">
              <a:solidFill>
                <a:srgbClr val="006411"/>
              </a:solidFill>
              <a:prstDash val="solid"/>
            </a:ln>
          </c:spPr>
          <c:marker>
            <c:symbol val="none"/>
          </c:marker>
          <c:xVal>
            <c:numRef>
              <c:f>'Design Nala Bund Drg &amp; Summ (P)'!$V$58:$V$69</c:f>
              <c:numCache>
                <c:formatCode>General</c:formatCode>
                <c:ptCount val="12"/>
                <c:pt idx="0">
                  <c:v>0</c:v>
                </c:pt>
                <c:pt idx="1">
                  <c:v>8.6999999999999993</c:v>
                </c:pt>
                <c:pt idx="2">
                  <c:v>11.399999999999999</c:v>
                </c:pt>
                <c:pt idx="3">
                  <c:v>11.7</c:v>
                </c:pt>
                <c:pt idx="4">
                  <c:v>15</c:v>
                </c:pt>
                <c:pt idx="5">
                  <c:v>15</c:v>
                </c:pt>
                <c:pt idx="6">
                  <c:v>16</c:v>
                </c:pt>
                <c:pt idx="7" formatCode="0.0">
                  <c:v>17</c:v>
                </c:pt>
                <c:pt idx="8">
                  <c:v>18</c:v>
                </c:pt>
                <c:pt idx="9">
                  <c:v>18</c:v>
                </c:pt>
                <c:pt idx="10">
                  <c:v>18</c:v>
                </c:pt>
                <c:pt idx="11">
                  <c:v>28</c:v>
                </c:pt>
              </c:numCache>
            </c:numRef>
          </c:xVal>
          <c:yVal>
            <c:numRef>
              <c:f>'Design Nala Bund Drg &amp; Summ (P)'!$Y$58:$Y$69</c:f>
              <c:numCache>
                <c:formatCode>General</c:formatCode>
                <c:ptCount val="12"/>
                <c:pt idx="4">
                  <c:v>0</c:v>
                </c:pt>
                <c:pt idx="5">
                  <c:v>0</c:v>
                </c:pt>
                <c:pt idx="6" formatCode="0.0">
                  <c:v>-1.5</c:v>
                </c:pt>
                <c:pt idx="7" formatCode="0.0">
                  <c:v>-1.5</c:v>
                </c:pt>
                <c:pt idx="8" formatCode="0.0">
                  <c:v>0</c:v>
                </c:pt>
                <c:pt idx="9" formatCode="0.0">
                  <c:v>0</c:v>
                </c:pt>
                <c:pt idx="10" formatCode="0.0">
                  <c:v>0</c:v>
                </c:pt>
              </c:numCache>
            </c:numRef>
          </c:yVal>
          <c:smooth val="0"/>
          <c:extLst>
            <c:ext xmlns:c16="http://schemas.microsoft.com/office/drawing/2014/chart" uri="{C3380CC4-5D6E-409C-BE32-E72D297353CC}">
              <c16:uniqueId val="{00000002-C2EE-4209-8FBE-C7F3E68CBFC0}"/>
            </c:ext>
          </c:extLst>
        </c:ser>
        <c:ser>
          <c:idx val="3"/>
          <c:order val="3"/>
          <c:tx>
            <c:strRef>
              <c:f>'Design Nala Bund Drg &amp; Summ (P)'!$Z$57</c:f>
              <c:strCache>
                <c:ptCount val="1"/>
                <c:pt idx="0">
                  <c:v>FRL</c:v>
                </c:pt>
              </c:strCache>
            </c:strRef>
          </c:tx>
          <c:spPr>
            <a:ln w="12700">
              <a:prstDash val="dashDot"/>
            </a:ln>
          </c:spPr>
          <c:marker>
            <c:symbol val="none"/>
          </c:marker>
          <c:xVal>
            <c:numRef>
              <c:f>'Design Nala Bund Drg &amp; Summ (P)'!$V$58:$V$69</c:f>
              <c:numCache>
                <c:formatCode>General</c:formatCode>
                <c:ptCount val="12"/>
                <c:pt idx="0">
                  <c:v>0</c:v>
                </c:pt>
                <c:pt idx="1">
                  <c:v>8.6999999999999993</c:v>
                </c:pt>
                <c:pt idx="2">
                  <c:v>11.399999999999999</c:v>
                </c:pt>
                <c:pt idx="3">
                  <c:v>11.7</c:v>
                </c:pt>
                <c:pt idx="4">
                  <c:v>15</c:v>
                </c:pt>
                <c:pt idx="5">
                  <c:v>15</c:v>
                </c:pt>
                <c:pt idx="6">
                  <c:v>16</c:v>
                </c:pt>
                <c:pt idx="7" formatCode="0.0">
                  <c:v>17</c:v>
                </c:pt>
                <c:pt idx="8">
                  <c:v>18</c:v>
                </c:pt>
                <c:pt idx="9">
                  <c:v>18</c:v>
                </c:pt>
                <c:pt idx="10">
                  <c:v>18</c:v>
                </c:pt>
                <c:pt idx="11">
                  <c:v>28</c:v>
                </c:pt>
              </c:numCache>
            </c:numRef>
          </c:xVal>
          <c:yVal>
            <c:numRef>
              <c:f>'Design Nala Bund Drg &amp; Summ (P)'!$Z$58:$Z$66</c:f>
              <c:numCache>
                <c:formatCode>0.00</c:formatCode>
                <c:ptCount val="9"/>
                <c:pt idx="0">
                  <c:v>2.9</c:v>
                </c:pt>
                <c:pt idx="1">
                  <c:v>2.9</c:v>
                </c:pt>
              </c:numCache>
            </c:numRef>
          </c:yVal>
          <c:smooth val="0"/>
          <c:extLst>
            <c:ext xmlns:c16="http://schemas.microsoft.com/office/drawing/2014/chart" uri="{C3380CC4-5D6E-409C-BE32-E72D297353CC}">
              <c16:uniqueId val="{00000003-C2EE-4209-8FBE-C7F3E68CBFC0}"/>
            </c:ext>
          </c:extLst>
        </c:ser>
        <c:ser>
          <c:idx val="4"/>
          <c:order val="4"/>
          <c:tx>
            <c:strRef>
              <c:f>'Design Nala Bund Drg &amp; Summ (P)'!$AA$57</c:f>
              <c:strCache>
                <c:ptCount val="1"/>
                <c:pt idx="0">
                  <c:v>HFL</c:v>
                </c:pt>
              </c:strCache>
            </c:strRef>
          </c:tx>
          <c:spPr>
            <a:ln w="9525">
              <a:solidFill>
                <a:srgbClr val="FF0000"/>
              </a:solidFill>
              <a:prstDash val="lgDashDot"/>
            </a:ln>
          </c:spPr>
          <c:marker>
            <c:symbol val="none"/>
          </c:marker>
          <c:xVal>
            <c:numRef>
              <c:f>'Design Nala Bund Drg &amp; Summ (P)'!$V$58:$V$69</c:f>
              <c:numCache>
                <c:formatCode>General</c:formatCode>
                <c:ptCount val="12"/>
                <c:pt idx="0">
                  <c:v>0</c:v>
                </c:pt>
                <c:pt idx="1">
                  <c:v>8.6999999999999993</c:v>
                </c:pt>
                <c:pt idx="2">
                  <c:v>11.399999999999999</c:v>
                </c:pt>
                <c:pt idx="3">
                  <c:v>11.7</c:v>
                </c:pt>
                <c:pt idx="4">
                  <c:v>15</c:v>
                </c:pt>
                <c:pt idx="5">
                  <c:v>15</c:v>
                </c:pt>
                <c:pt idx="6">
                  <c:v>16</c:v>
                </c:pt>
                <c:pt idx="7" formatCode="0.0">
                  <c:v>17</c:v>
                </c:pt>
                <c:pt idx="8">
                  <c:v>18</c:v>
                </c:pt>
                <c:pt idx="9">
                  <c:v>18</c:v>
                </c:pt>
                <c:pt idx="10">
                  <c:v>18</c:v>
                </c:pt>
                <c:pt idx="11">
                  <c:v>28</c:v>
                </c:pt>
              </c:numCache>
            </c:numRef>
          </c:xVal>
          <c:yVal>
            <c:numRef>
              <c:f>'Design Nala Bund Drg &amp; Summ (P)'!$AA$58:$AA$66</c:f>
              <c:numCache>
                <c:formatCode>0.00</c:formatCode>
                <c:ptCount val="9"/>
                <c:pt idx="0">
                  <c:v>3.8</c:v>
                </c:pt>
                <c:pt idx="1">
                  <c:v>3.8</c:v>
                </c:pt>
                <c:pt idx="2">
                  <c:v>3.8</c:v>
                </c:pt>
              </c:numCache>
            </c:numRef>
          </c:yVal>
          <c:smooth val="0"/>
          <c:extLst>
            <c:ext xmlns:c16="http://schemas.microsoft.com/office/drawing/2014/chart" uri="{C3380CC4-5D6E-409C-BE32-E72D297353CC}">
              <c16:uniqueId val="{00000004-C2EE-4209-8FBE-C7F3E68CBFC0}"/>
            </c:ext>
          </c:extLst>
        </c:ser>
        <c:ser>
          <c:idx val="5"/>
          <c:order val="5"/>
          <c:tx>
            <c:strRef>
              <c:f>'Design Nala Bund Drg &amp; Summ (P)'!$AB$57</c:f>
              <c:strCache>
                <c:ptCount val="1"/>
                <c:pt idx="0">
                  <c:v>stonepitching</c:v>
                </c:pt>
              </c:strCache>
            </c:strRef>
          </c:tx>
          <c:spPr>
            <a:ln w="22225" cmpd="dbl">
              <a:solidFill>
                <a:srgbClr val="C00000"/>
              </a:solidFill>
            </a:ln>
            <a:effectLst>
              <a:glow rad="38100">
                <a:schemeClr val="accent1">
                  <a:alpha val="44000"/>
                </a:schemeClr>
              </a:glow>
              <a:innerShdw blurRad="63500" dist="50800" dir="13500000">
                <a:srgbClr val="FF0000">
                  <a:alpha val="50000"/>
                </a:srgbClr>
              </a:innerShdw>
            </a:effectLst>
          </c:spPr>
          <c:marker>
            <c:symbol val="none"/>
          </c:marker>
          <c:xVal>
            <c:numRef>
              <c:f>'Design Nala Bund Drg &amp; Summ (P)'!$V$58:$V$69</c:f>
              <c:numCache>
                <c:formatCode>General</c:formatCode>
                <c:ptCount val="12"/>
                <c:pt idx="0">
                  <c:v>0</c:v>
                </c:pt>
                <c:pt idx="1">
                  <c:v>8.6999999999999993</c:v>
                </c:pt>
                <c:pt idx="2">
                  <c:v>11.399999999999999</c:v>
                </c:pt>
                <c:pt idx="3">
                  <c:v>11.7</c:v>
                </c:pt>
                <c:pt idx="4">
                  <c:v>15</c:v>
                </c:pt>
                <c:pt idx="5">
                  <c:v>15</c:v>
                </c:pt>
                <c:pt idx="6">
                  <c:v>16</c:v>
                </c:pt>
                <c:pt idx="7" formatCode="0.0">
                  <c:v>17</c:v>
                </c:pt>
                <c:pt idx="8">
                  <c:v>18</c:v>
                </c:pt>
                <c:pt idx="9">
                  <c:v>18</c:v>
                </c:pt>
                <c:pt idx="10">
                  <c:v>18</c:v>
                </c:pt>
                <c:pt idx="11">
                  <c:v>28</c:v>
                </c:pt>
              </c:numCache>
            </c:numRef>
          </c:xVal>
          <c:yVal>
            <c:numRef>
              <c:f>'Design Nala Bund Drg &amp; Summ (P)'!$AB$58:$AB$61</c:f>
              <c:numCache>
                <c:formatCode>0.00</c:formatCode>
                <c:ptCount val="4"/>
                <c:pt idx="0" formatCode="General">
                  <c:v>0</c:v>
                </c:pt>
                <c:pt idx="1">
                  <c:v>2.9</c:v>
                </c:pt>
                <c:pt idx="2">
                  <c:v>3.8</c:v>
                </c:pt>
                <c:pt idx="3">
                  <c:v>3.9</c:v>
                </c:pt>
              </c:numCache>
            </c:numRef>
          </c:yVal>
          <c:smooth val="0"/>
          <c:extLst>
            <c:ext xmlns:c16="http://schemas.microsoft.com/office/drawing/2014/chart" uri="{C3380CC4-5D6E-409C-BE32-E72D297353CC}">
              <c16:uniqueId val="{00000005-C2EE-4209-8FBE-C7F3E68CBFC0}"/>
            </c:ext>
          </c:extLst>
        </c:ser>
        <c:dLbls>
          <c:showLegendKey val="0"/>
          <c:showVal val="0"/>
          <c:showCatName val="0"/>
          <c:showSerName val="0"/>
          <c:showPercent val="0"/>
          <c:showBubbleSize val="0"/>
        </c:dLbls>
        <c:axId val="89277568"/>
        <c:axId val="89279104"/>
      </c:scatterChart>
      <c:valAx>
        <c:axId val="89277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IN" sz="925" b="0" i="0" u="none" strike="noStrike" baseline="0">
                <a:solidFill>
                  <a:srgbClr val="000000"/>
                </a:solidFill>
                <a:latin typeface="Arial"/>
                <a:ea typeface="Arial"/>
                <a:cs typeface="Arial"/>
              </a:defRPr>
            </a:pPr>
            <a:endParaRPr lang="en-US"/>
          </a:p>
        </c:txPr>
        <c:crossAx val="89279104"/>
        <c:crosses val="autoZero"/>
        <c:crossBetween val="midCat"/>
        <c:majorUnit val="2"/>
      </c:valAx>
      <c:valAx>
        <c:axId val="89279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lang="en-IN" sz="925" b="0" i="0" u="none" strike="noStrike" baseline="0">
                <a:solidFill>
                  <a:srgbClr val="000000"/>
                </a:solidFill>
                <a:latin typeface="Arial"/>
                <a:ea typeface="Arial"/>
                <a:cs typeface="Arial"/>
              </a:defRPr>
            </a:pPr>
            <a:endParaRPr lang="en-US"/>
          </a:p>
        </c:txPr>
        <c:crossAx val="89277568"/>
        <c:crosses val="autoZero"/>
        <c:crossBetween val="midCat"/>
      </c:valAx>
      <c:spPr>
        <a:noFill/>
        <a:ln w="25400">
          <a:noFill/>
        </a:ln>
      </c:spPr>
    </c:plotArea>
    <c:legend>
      <c:legendPos val="r"/>
      <c:layout>
        <c:manualLayout>
          <c:xMode val="edge"/>
          <c:yMode val="edge"/>
          <c:x val="0.11010553476594299"/>
          <c:y val="0.88358188669695059"/>
          <c:w val="0.83021439735763358"/>
          <c:h val="0.11641817080557237"/>
        </c:manualLayout>
      </c:layout>
      <c:overlay val="0"/>
      <c:spPr>
        <a:solidFill>
          <a:srgbClr val="FFFFFF"/>
        </a:solidFill>
        <a:ln w="3175">
          <a:solidFill>
            <a:srgbClr val="000000"/>
          </a:solidFill>
          <a:prstDash val="dash"/>
        </a:ln>
      </c:spPr>
      <c:txPr>
        <a:bodyPr/>
        <a:lstStyle/>
        <a:p>
          <a:pPr>
            <a:defRPr lang="en-IN"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IN" sz="1400" b="1" i="0" u="none" strike="noStrike" baseline="0">
                <a:solidFill>
                  <a:srgbClr val="333333"/>
                </a:solidFill>
                <a:latin typeface="Calibri"/>
                <a:ea typeface="Calibri"/>
                <a:cs typeface="Calibri"/>
              </a:defRPr>
            </a:pPr>
            <a:r>
              <a:rPr lang="en-US"/>
              <a:t>Plan of earthen dam</a:t>
            </a:r>
          </a:p>
        </c:rich>
      </c:tx>
      <c:layout>
        <c:manualLayout>
          <c:xMode val="edge"/>
          <c:yMode val="edge"/>
          <c:x val="0.38881528760427325"/>
          <c:y val="0"/>
        </c:manualLayout>
      </c:layout>
      <c:overlay val="0"/>
      <c:spPr>
        <a:noFill/>
        <a:ln w="25400">
          <a:noFill/>
        </a:ln>
      </c:spPr>
    </c:title>
    <c:autoTitleDeleted val="0"/>
    <c:plotArea>
      <c:layout>
        <c:manualLayout>
          <c:layoutTarget val="inner"/>
          <c:xMode val="edge"/>
          <c:yMode val="edge"/>
          <c:x val="6.934412792538483E-2"/>
          <c:y val="0.1017557351628976"/>
          <c:w val="0.67296043462436861"/>
          <c:h val="0.84863657263727865"/>
        </c:manualLayout>
      </c:layout>
      <c:scatterChart>
        <c:scatterStyle val="lineMarker"/>
        <c:varyColors val="0"/>
        <c:ser>
          <c:idx val="0"/>
          <c:order val="0"/>
          <c:tx>
            <c:strRef>
              <c:f>'Design Nala Bund Drg &amp; Summ (P)'!$X$43</c:f>
              <c:strCache>
                <c:ptCount val="1"/>
                <c:pt idx="0">
                  <c:v>U/S</c:v>
                </c:pt>
              </c:strCache>
            </c:strRef>
          </c:tx>
          <c:spPr>
            <a:ln w="6350" cap="rnd">
              <a:solidFill>
                <a:schemeClr val="tx2">
                  <a:lumMod val="50000"/>
                </a:schemeClr>
              </a:solidFill>
              <a:round/>
            </a:ln>
            <a:effectLst/>
          </c:spPr>
          <c:marker>
            <c:symbol val="none"/>
          </c:marker>
          <c:dLbls>
            <c:spPr>
              <a:noFill/>
              <a:ln w="25400">
                <a:noFill/>
              </a:ln>
            </c:spPr>
            <c:txPr>
              <a:bodyPr/>
              <a:lstStyle/>
              <a:p>
                <a:pPr>
                  <a:defRPr lang="en-IN"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'Design Nala Bund Drg &amp; Summ (P)'!$W$44:$W$54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 (P)'!$X$44:$X$54</c:f>
              <c:numCache>
                <c:formatCode>General</c:formatCode>
                <c:ptCount val="11"/>
                <c:pt idx="0">
                  <c:v>1.5</c:v>
                </c:pt>
                <c:pt idx="1">
                  <c:v>10.8</c:v>
                </c:pt>
                <c:pt idx="2">
                  <c:v>12.899999999999999</c:v>
                </c:pt>
                <c:pt idx="3">
                  <c:v>14.100000000000001</c:v>
                </c:pt>
                <c:pt idx="4">
                  <c:v>15.299999999999999</c:v>
                </c:pt>
                <c:pt idx="5">
                  <c:v>16.200000000000003</c:v>
                </c:pt>
                <c:pt idx="6">
                  <c:v>16.5</c:v>
                </c:pt>
                <c:pt idx="7">
                  <c:v>16.200000000000003</c:v>
                </c:pt>
                <c:pt idx="8">
                  <c:v>15.299999999999999</c:v>
                </c:pt>
                <c:pt idx="9">
                  <c:v>11.399999999999999</c:v>
                </c:pt>
                <c:pt idx="10">
                  <c:v>1.5</c:v>
                </c:pt>
              </c:numCache>
            </c:numRef>
          </c:yVal>
          <c:smooth val="0"/>
          <c:extLst>
            <c:ext xmlns:c16="http://schemas.microsoft.com/office/drawing/2014/chart" uri="{C3380CC4-5D6E-409C-BE32-E72D297353CC}">
              <c16:uniqueId val="{00000000-2531-4D66-A703-535753E87B6F}"/>
            </c:ext>
          </c:extLst>
        </c:ser>
        <c:ser>
          <c:idx val="1"/>
          <c:order val="1"/>
          <c:tx>
            <c:strRef>
              <c:f>'Design Nala Bund Drg &amp; Summ (P)'!$Y$43</c:f>
              <c:strCache>
                <c:ptCount val="1"/>
                <c:pt idx="0">
                  <c:v>TW</c:v>
                </c:pt>
              </c:strCache>
            </c:strRef>
          </c:tx>
          <c:spPr>
            <a:ln w="19050" cap="rnd">
              <a:solidFill>
                <a:schemeClr val="tx1"/>
              </a:solidFill>
              <a:round/>
            </a:ln>
            <a:effectLst/>
          </c:spPr>
          <c:marker>
            <c:symbol val="none"/>
          </c:marker>
          <c:xVal>
            <c:numRef>
              <c:f>'Design Nala Bund Drg &amp; Summ (P)'!$W$44:$W$54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 (P)'!$Y$44:$Y$54</c:f>
              <c:numCache>
                <c:formatCode>General</c:formatCode>
                <c:ptCount val="11"/>
                <c:pt idx="0">
                  <c:v>1.5</c:v>
                </c:pt>
                <c:pt idx="1">
                  <c:v>1.5</c:v>
                </c:pt>
                <c:pt idx="2">
                  <c:v>1.5</c:v>
                </c:pt>
                <c:pt idx="3">
                  <c:v>1.5</c:v>
                </c:pt>
                <c:pt idx="4">
                  <c:v>1.5</c:v>
                </c:pt>
                <c:pt idx="5">
                  <c:v>1.5</c:v>
                </c:pt>
                <c:pt idx="6">
                  <c:v>1.5</c:v>
                </c:pt>
                <c:pt idx="7">
                  <c:v>1.5</c:v>
                </c:pt>
                <c:pt idx="8">
                  <c:v>1.5</c:v>
                </c:pt>
                <c:pt idx="9">
                  <c:v>1.5</c:v>
                </c:pt>
                <c:pt idx="10">
                  <c:v>1.5</c:v>
                </c:pt>
              </c:numCache>
            </c:numRef>
          </c:yVal>
          <c:smooth val="0"/>
          <c:extLst>
            <c:ext xmlns:c16="http://schemas.microsoft.com/office/drawing/2014/chart" uri="{C3380CC4-5D6E-409C-BE32-E72D297353CC}">
              <c16:uniqueId val="{00000001-2531-4D66-A703-535753E87B6F}"/>
            </c:ext>
          </c:extLst>
        </c:ser>
        <c:ser>
          <c:idx val="2"/>
          <c:order val="2"/>
          <c:tx>
            <c:strRef>
              <c:f>'Design Nala Bund Drg &amp; Summ (P)'!$Z$43</c:f>
              <c:strCache>
                <c:ptCount val="1"/>
                <c:pt idx="0">
                  <c:v>TW</c:v>
                </c:pt>
              </c:strCache>
            </c:strRef>
          </c:tx>
          <c:spPr>
            <a:ln w="19050" cap="rnd">
              <a:solidFill>
                <a:schemeClr val="tx1"/>
              </a:solidFill>
              <a:round/>
            </a:ln>
            <a:effectLst/>
          </c:spPr>
          <c:marker>
            <c:symbol val="none"/>
          </c:marker>
          <c:xVal>
            <c:numRef>
              <c:f>'Design Nala Bund Drg &amp; Summ (P)'!$W$44:$W$54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 (P)'!$Z$44:$Z$54</c:f>
              <c:numCache>
                <c:formatCode>General</c:formatCode>
                <c:ptCount val="11"/>
                <c:pt idx="0">
                  <c:v>-1.5</c:v>
                </c:pt>
                <c:pt idx="1">
                  <c:v>-1.5</c:v>
                </c:pt>
                <c:pt idx="2">
                  <c:v>-1.5</c:v>
                </c:pt>
                <c:pt idx="3">
                  <c:v>-1.5</c:v>
                </c:pt>
                <c:pt idx="4">
                  <c:v>-1.5</c:v>
                </c:pt>
                <c:pt idx="5">
                  <c:v>-1.5</c:v>
                </c:pt>
                <c:pt idx="6">
                  <c:v>-1.5</c:v>
                </c:pt>
                <c:pt idx="7">
                  <c:v>-1.5</c:v>
                </c:pt>
                <c:pt idx="8">
                  <c:v>-1.5</c:v>
                </c:pt>
                <c:pt idx="9">
                  <c:v>-1.5</c:v>
                </c:pt>
                <c:pt idx="10">
                  <c:v>-1.5</c:v>
                </c:pt>
              </c:numCache>
            </c:numRef>
          </c:yVal>
          <c:smooth val="0"/>
          <c:extLst>
            <c:ext xmlns:c16="http://schemas.microsoft.com/office/drawing/2014/chart" uri="{C3380CC4-5D6E-409C-BE32-E72D297353CC}">
              <c16:uniqueId val="{00000002-2531-4D66-A703-535753E87B6F}"/>
            </c:ext>
          </c:extLst>
        </c:ser>
        <c:ser>
          <c:idx val="3"/>
          <c:order val="3"/>
          <c:tx>
            <c:strRef>
              <c:f>'Design Nala Bund Drg &amp; Summ (P)'!$AA$43</c:f>
              <c:strCache>
                <c:ptCount val="1"/>
                <c:pt idx="0">
                  <c:v>D/S</c:v>
                </c:pt>
              </c:strCache>
            </c:strRef>
          </c:tx>
          <c:spPr>
            <a:ln w="12700" cap="rnd">
              <a:solidFill>
                <a:srgbClr val="FF0000"/>
              </a:solidFill>
              <a:round/>
            </a:ln>
            <a:effectLst/>
          </c:spPr>
          <c:marker>
            <c:symbol val="none"/>
          </c:marker>
          <c:dLbls>
            <c:spPr>
              <a:noFill/>
              <a:ln w="25400">
                <a:noFill/>
              </a:ln>
            </c:spPr>
            <c:txPr>
              <a:bodyPr/>
              <a:lstStyle/>
              <a:p>
                <a:pPr>
                  <a:defRPr lang="en-IN"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'Design Nala Bund Drg &amp; Summ (P)'!$W$44:$W$54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 (P)'!$AA$44:$AA$54</c:f>
              <c:numCache>
                <c:formatCode>General</c:formatCode>
                <c:ptCount val="11"/>
                <c:pt idx="0">
                  <c:v>-1.5</c:v>
                </c:pt>
                <c:pt idx="1">
                  <c:v>-7.7</c:v>
                </c:pt>
                <c:pt idx="2">
                  <c:v>-9.1</c:v>
                </c:pt>
                <c:pt idx="3">
                  <c:v>-9.9</c:v>
                </c:pt>
                <c:pt idx="4">
                  <c:v>-10.7</c:v>
                </c:pt>
                <c:pt idx="5">
                  <c:v>-11.3</c:v>
                </c:pt>
                <c:pt idx="6">
                  <c:v>-11.5</c:v>
                </c:pt>
                <c:pt idx="7">
                  <c:v>-11.3</c:v>
                </c:pt>
                <c:pt idx="8">
                  <c:v>-10.7</c:v>
                </c:pt>
                <c:pt idx="9">
                  <c:v>-8.1</c:v>
                </c:pt>
                <c:pt idx="10">
                  <c:v>-1.5</c:v>
                </c:pt>
              </c:numCache>
            </c:numRef>
          </c:yVal>
          <c:smooth val="0"/>
          <c:extLst>
            <c:ext xmlns:c16="http://schemas.microsoft.com/office/drawing/2014/chart" uri="{C3380CC4-5D6E-409C-BE32-E72D297353CC}">
              <c16:uniqueId val="{00000003-2531-4D66-A703-535753E87B6F}"/>
            </c:ext>
          </c:extLst>
        </c:ser>
        <c:ser>
          <c:idx val="4"/>
          <c:order val="4"/>
          <c:tx>
            <c:strRef>
              <c:f>'Design Nala Bund Drg &amp; Summ (P)'!$AB$43</c:f>
              <c:strCache>
                <c:ptCount val="1"/>
                <c:pt idx="0">
                  <c:v>Rock toe line</c:v>
                </c:pt>
              </c:strCache>
            </c:strRef>
          </c:tx>
          <c:spPr>
            <a:ln w="19050">
              <a:solidFill>
                <a:schemeClr val="tx1"/>
              </a:solidFill>
              <a:prstDash val="dashDot"/>
            </a:ln>
          </c:spPr>
          <c:marker>
            <c:symbol val="none"/>
          </c:marker>
          <c:xVal>
            <c:numRef>
              <c:f>'Design Nala Bund Drg &amp; Summ (P)'!$W$44:$W$54</c:f>
              <c:numCache>
                <c:formatCode>General</c:formatCode>
                <c:ptCount val="11"/>
                <c:pt idx="0">
                  <c:v>0</c:v>
                </c:pt>
                <c:pt idx="1">
                  <c:v>4</c:v>
                </c:pt>
                <c:pt idx="2">
                  <c:v>8</c:v>
                </c:pt>
                <c:pt idx="3">
                  <c:v>12</c:v>
                </c:pt>
                <c:pt idx="4">
                  <c:v>16</c:v>
                </c:pt>
                <c:pt idx="5">
                  <c:v>20</c:v>
                </c:pt>
                <c:pt idx="6">
                  <c:v>24</c:v>
                </c:pt>
                <c:pt idx="7">
                  <c:v>28</c:v>
                </c:pt>
                <c:pt idx="8">
                  <c:v>32</c:v>
                </c:pt>
                <c:pt idx="9">
                  <c:v>36</c:v>
                </c:pt>
                <c:pt idx="10">
                  <c:v>40</c:v>
                </c:pt>
              </c:numCache>
            </c:numRef>
          </c:xVal>
          <c:yVal>
            <c:numRef>
              <c:f>'Design Nala Bund Drg &amp; Summ (P)'!$AB$44:$AB$54</c:f>
              <c:numCache>
                <c:formatCode>0.00</c:formatCode>
                <c:ptCount val="11"/>
                <c:pt idx="0" formatCode="General">
                  <c:v>-1.5</c:v>
                </c:pt>
                <c:pt idx="1">
                  <c:v>-5.7625000000000002</c:v>
                </c:pt>
                <c:pt idx="2">
                  <c:v>-6.7249999999999996</c:v>
                </c:pt>
                <c:pt idx="3">
                  <c:v>-7.2750000000000004</c:v>
                </c:pt>
                <c:pt idx="4">
                  <c:v>-7.8249999999999993</c:v>
                </c:pt>
                <c:pt idx="5">
                  <c:v>-8.2375000000000007</c:v>
                </c:pt>
                <c:pt idx="6">
                  <c:v>-8.375</c:v>
                </c:pt>
                <c:pt idx="7">
                  <c:v>-8.2375000000000007</c:v>
                </c:pt>
                <c:pt idx="8">
                  <c:v>-7.8249999999999993</c:v>
                </c:pt>
                <c:pt idx="9">
                  <c:v>-6.0374999999999996</c:v>
                </c:pt>
                <c:pt idx="10" formatCode="General">
                  <c:v>-1.5</c:v>
                </c:pt>
              </c:numCache>
            </c:numRef>
          </c:yVal>
          <c:smooth val="0"/>
          <c:extLst>
            <c:ext xmlns:c16="http://schemas.microsoft.com/office/drawing/2014/chart" uri="{C3380CC4-5D6E-409C-BE32-E72D297353CC}">
              <c16:uniqueId val="{00000004-2531-4D66-A703-535753E87B6F}"/>
            </c:ext>
          </c:extLst>
        </c:ser>
        <c:dLbls>
          <c:showLegendKey val="0"/>
          <c:showVal val="0"/>
          <c:showCatName val="0"/>
          <c:showSerName val="0"/>
          <c:showPercent val="0"/>
          <c:showBubbleSize val="0"/>
        </c:dLbls>
        <c:axId val="89409024"/>
        <c:axId val="89410560"/>
      </c:scatterChart>
      <c:valAx>
        <c:axId val="89409024"/>
        <c:scaling>
          <c:orientation val="minMax"/>
        </c:scaling>
        <c:delete val="0"/>
        <c:axPos val="b"/>
        <c:majorGridlines>
          <c:spPr>
            <a:ln w="3175" cap="flat" cmpd="sng" algn="ctr">
              <a:solidFill>
                <a:schemeClr val="tx1">
                  <a:alpha val="60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lang="en-IN" sz="900" b="0" i="0" u="none" strike="noStrike" baseline="0">
                <a:solidFill>
                  <a:srgbClr val="333333"/>
                </a:solidFill>
                <a:latin typeface="Calibri"/>
                <a:ea typeface="Calibri"/>
                <a:cs typeface="Calibri"/>
              </a:defRPr>
            </a:pPr>
            <a:endParaRPr lang="en-US"/>
          </a:p>
        </c:txPr>
        <c:crossAx val="89410560"/>
        <c:crosses val="autoZero"/>
        <c:crossBetween val="midCat"/>
      </c:valAx>
      <c:valAx>
        <c:axId val="89410560"/>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lang="en-IN" sz="900" b="0" i="0" u="none" strike="noStrike" baseline="0">
                <a:solidFill>
                  <a:srgbClr val="333333"/>
                </a:solidFill>
                <a:latin typeface="Calibri"/>
                <a:ea typeface="Calibri"/>
                <a:cs typeface="Calibri"/>
              </a:defRPr>
            </a:pPr>
            <a:endParaRPr lang="en-US"/>
          </a:p>
        </c:txPr>
        <c:crossAx val="89409024"/>
        <c:crosses val="autoZero"/>
        <c:crossBetween val="midCat"/>
      </c:valAx>
      <c:spPr>
        <a:noFill/>
        <a:ln>
          <a:solidFill>
            <a:schemeClr val="tx1"/>
          </a:solidFill>
        </a:ln>
        <a:effectLst/>
      </c:spPr>
    </c:plotArea>
    <c:legend>
      <c:legendPos val="b"/>
      <c:layout>
        <c:manualLayout>
          <c:xMode val="edge"/>
          <c:yMode val="edge"/>
          <c:x val="0.82283436989373349"/>
          <c:y val="0.11986923644284521"/>
          <c:w val="0.15053862663205148"/>
          <c:h val="0.79746298459103693"/>
        </c:manualLayout>
      </c:layout>
      <c:overlay val="0"/>
      <c:spPr>
        <a:noFill/>
        <a:ln w="25400">
          <a:solidFill>
            <a:schemeClr val="tx1"/>
          </a:solidFill>
          <a:prstDash val="sysDot"/>
        </a:ln>
      </c:spPr>
      <c:txPr>
        <a:bodyPr/>
        <a:lstStyle/>
        <a:p>
          <a:pPr>
            <a:defRPr lang="en-IN" sz="900"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66" r="0.75000000000000366"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IN" sz="1600" b="1" i="0" u="none" strike="noStrike" baseline="0">
                <a:solidFill>
                  <a:srgbClr val="000000"/>
                </a:solidFill>
                <a:latin typeface="Calibri"/>
                <a:ea typeface="Calibri"/>
                <a:cs typeface="Calibri"/>
              </a:defRPr>
            </a:pPr>
            <a:r>
              <a:rPr lang="en-US"/>
              <a:t>L-section of Earthen dam</a:t>
            </a:r>
          </a:p>
        </c:rich>
      </c:tx>
      <c:layout>
        <c:manualLayout>
          <c:xMode val="edge"/>
          <c:yMode val="edge"/>
          <c:x val="0.32663840988948684"/>
          <c:y val="3.1893681033053952E-3"/>
        </c:manualLayout>
      </c:layout>
      <c:overlay val="0"/>
      <c:spPr>
        <a:noFill/>
        <a:ln w="25400">
          <a:noFill/>
        </a:ln>
      </c:spPr>
    </c:title>
    <c:autoTitleDeleted val="0"/>
    <c:plotArea>
      <c:layout>
        <c:manualLayout>
          <c:layoutTarget val="inner"/>
          <c:xMode val="edge"/>
          <c:yMode val="edge"/>
          <c:x val="6.5536743474076051E-2"/>
          <c:y val="1.9390604674056625E-2"/>
          <c:w val="0.90847457627118955"/>
          <c:h val="0.84177544839502294"/>
        </c:manualLayout>
      </c:layout>
      <c:scatterChart>
        <c:scatterStyle val="lineMarker"/>
        <c:varyColors val="0"/>
        <c:ser>
          <c:idx val="5"/>
          <c:order val="0"/>
          <c:tx>
            <c:strRef>
              <c:f>'Design Nala Bund Drg &amp; Summ (P)'!$Y$10</c:f>
              <c:strCache>
                <c:ptCount val="1"/>
                <c:pt idx="0">
                  <c:v>GL</c:v>
                </c:pt>
              </c:strCache>
            </c:strRef>
          </c:tx>
          <c:spPr>
            <a:ln w="19050" cap="rnd">
              <a:solidFill>
                <a:schemeClr val="accent6"/>
              </a:solidFill>
              <a:round/>
            </a:ln>
            <a:effectLst/>
          </c:spPr>
          <c:marker>
            <c:symbol val="none"/>
          </c:marker>
          <c:xVal>
            <c:numRef>
              <c:f>'Design Nala Bund Drg &amp; Summ (P)'!$X$12:$X$27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(P)'!$Y$12:$Y$27</c:f>
              <c:numCache>
                <c:formatCode>0.0</c:formatCode>
                <c:ptCount val="16"/>
                <c:pt idx="0">
                  <c:v>100</c:v>
                </c:pt>
                <c:pt idx="1">
                  <c:v>96.9</c:v>
                </c:pt>
                <c:pt idx="2">
                  <c:v>96.2</c:v>
                </c:pt>
                <c:pt idx="3">
                  <c:v>95.8</c:v>
                </c:pt>
                <c:pt idx="4">
                  <c:v>95.4</c:v>
                </c:pt>
                <c:pt idx="5">
                  <c:v>95.1</c:v>
                </c:pt>
                <c:pt idx="6">
                  <c:v>95</c:v>
                </c:pt>
                <c:pt idx="7">
                  <c:v>95.1</c:v>
                </c:pt>
                <c:pt idx="8">
                  <c:v>95.4</c:v>
                </c:pt>
                <c:pt idx="9">
                  <c:v>96.7</c:v>
                </c:pt>
                <c:pt idx="10">
                  <c:v>100</c:v>
                </c:pt>
                <c:pt idx="11">
                  <c:v>100.3</c:v>
                </c:pt>
                <c:pt idx="12">
                  <c:v>97.6</c:v>
                </c:pt>
                <c:pt idx="13">
                  <c:v>97.6</c:v>
                </c:pt>
                <c:pt idx="14">
                  <c:v>100.3</c:v>
                </c:pt>
                <c:pt idx="15">
                  <c:v>100.3</c:v>
                </c:pt>
              </c:numCache>
            </c:numRef>
          </c:yVal>
          <c:smooth val="0"/>
          <c:extLst>
            <c:ext xmlns:c16="http://schemas.microsoft.com/office/drawing/2014/chart" uri="{C3380CC4-5D6E-409C-BE32-E72D297353CC}">
              <c16:uniqueId val="{00000000-1887-41CF-9CC2-34DDA71470AD}"/>
            </c:ext>
          </c:extLst>
        </c:ser>
        <c:ser>
          <c:idx val="6"/>
          <c:order val="1"/>
          <c:tx>
            <c:strRef>
              <c:f>'Design Nala Bund Drg &amp; Summ (P)'!$Z$10</c:f>
              <c:strCache>
                <c:ptCount val="1"/>
                <c:pt idx="0">
                  <c:v>FRL</c:v>
                </c:pt>
              </c:strCache>
            </c:strRef>
          </c:tx>
          <c:spPr>
            <a:ln w="19050" cap="rnd">
              <a:solidFill>
                <a:schemeClr val="tx1">
                  <a:alpha val="59000"/>
                </a:schemeClr>
              </a:solidFill>
              <a:prstDash val="dashDot"/>
              <a:round/>
            </a:ln>
            <a:effectLst/>
          </c:spPr>
          <c:marker>
            <c:symbol val="none"/>
          </c:marker>
          <c:xVal>
            <c:numRef>
              <c:f>'Design Nala Bund Drg &amp; Summ (P)'!$X$12:$X$27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(P)'!$Z$12:$Z$27</c:f>
              <c:numCache>
                <c:formatCode>0.0</c:formatCode>
                <c:ptCount val="16"/>
                <c:pt idx="0">
                  <c:v>97.899999999999991</c:v>
                </c:pt>
                <c:pt idx="1">
                  <c:v>97.899999999999991</c:v>
                </c:pt>
                <c:pt idx="2">
                  <c:v>97.899999999999991</c:v>
                </c:pt>
                <c:pt idx="3">
                  <c:v>97.899999999999991</c:v>
                </c:pt>
                <c:pt idx="4">
                  <c:v>97.899999999999991</c:v>
                </c:pt>
                <c:pt idx="5">
                  <c:v>97.899999999999991</c:v>
                </c:pt>
                <c:pt idx="6">
                  <c:v>97.899999999999991</c:v>
                </c:pt>
                <c:pt idx="7">
                  <c:v>97.899999999999991</c:v>
                </c:pt>
                <c:pt idx="8">
                  <c:v>97.899999999999991</c:v>
                </c:pt>
                <c:pt idx="9">
                  <c:v>97.899999999999991</c:v>
                </c:pt>
                <c:pt idx="10">
                  <c:v>97.899999999999991</c:v>
                </c:pt>
                <c:pt idx="11">
                  <c:v>97.899999999999991</c:v>
                </c:pt>
                <c:pt idx="12">
                  <c:v>97.899999999999991</c:v>
                </c:pt>
                <c:pt idx="13">
                  <c:v>97.899999999999991</c:v>
                </c:pt>
              </c:numCache>
            </c:numRef>
          </c:yVal>
          <c:smooth val="0"/>
          <c:extLst>
            <c:ext xmlns:c16="http://schemas.microsoft.com/office/drawing/2014/chart" uri="{C3380CC4-5D6E-409C-BE32-E72D297353CC}">
              <c16:uniqueId val="{00000001-1887-41CF-9CC2-34DDA71470AD}"/>
            </c:ext>
          </c:extLst>
        </c:ser>
        <c:ser>
          <c:idx val="7"/>
          <c:order val="2"/>
          <c:tx>
            <c:strRef>
              <c:f>'Design Nala Bund Drg &amp; Summ (P)'!$AA$9</c:f>
              <c:strCache>
                <c:ptCount val="1"/>
                <c:pt idx="0">
                  <c:v>Settelment Allowance</c:v>
                </c:pt>
              </c:strCache>
            </c:strRef>
          </c:tx>
          <c:spPr>
            <a:ln w="9525" cap="rnd">
              <a:solidFill>
                <a:schemeClr val="tx1">
                  <a:alpha val="68000"/>
                </a:schemeClr>
              </a:solidFill>
              <a:prstDash val="lgDash"/>
              <a:round/>
            </a:ln>
            <a:effectLst/>
          </c:spPr>
          <c:marker>
            <c:symbol val="none"/>
          </c:marker>
          <c:xVal>
            <c:numRef>
              <c:f>'Design Nala Bund Drg &amp; Summ (P)'!$X$12:$X$27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(P)'!$AA$12:$AA$27</c:f>
              <c:numCache>
                <c:formatCode>0.00</c:formatCode>
                <c:ptCount val="16"/>
                <c:pt idx="0" formatCode="General">
                  <c:v>100</c:v>
                </c:pt>
                <c:pt idx="1">
                  <c:v>100.465</c:v>
                </c:pt>
                <c:pt idx="2">
                  <c:v>100.38</c:v>
                </c:pt>
                <c:pt idx="3">
                  <c:v>100.42</c:v>
                </c:pt>
                <c:pt idx="4">
                  <c:v>100.46</c:v>
                </c:pt>
                <c:pt idx="5">
                  <c:v>100.49</c:v>
                </c:pt>
                <c:pt idx="6">
                  <c:v>100.5</c:v>
                </c:pt>
                <c:pt idx="7">
                  <c:v>100.49</c:v>
                </c:pt>
                <c:pt idx="8">
                  <c:v>100.46</c:v>
                </c:pt>
                <c:pt idx="9">
                  <c:v>100.33</c:v>
                </c:pt>
                <c:pt idx="10">
                  <c:v>100</c:v>
                </c:pt>
              </c:numCache>
            </c:numRef>
          </c:yVal>
          <c:smooth val="0"/>
          <c:extLst>
            <c:ext xmlns:c16="http://schemas.microsoft.com/office/drawing/2014/chart" uri="{C3380CC4-5D6E-409C-BE32-E72D297353CC}">
              <c16:uniqueId val="{00000002-1887-41CF-9CC2-34DDA71470AD}"/>
            </c:ext>
          </c:extLst>
        </c:ser>
        <c:ser>
          <c:idx val="8"/>
          <c:order val="3"/>
          <c:tx>
            <c:strRef>
              <c:f>'Design Nala Bund Drg &amp; Summ (P)'!$AB$10</c:f>
              <c:strCache>
                <c:ptCount val="1"/>
                <c:pt idx="0">
                  <c:v>TBL</c:v>
                </c:pt>
              </c:strCache>
            </c:strRef>
          </c:tx>
          <c:spPr>
            <a:ln w="19050" cap="rnd">
              <a:solidFill>
                <a:schemeClr val="accent3">
                  <a:lumMod val="60000"/>
                </a:schemeClr>
              </a:solidFill>
              <a:round/>
            </a:ln>
            <a:effectLst/>
          </c:spPr>
          <c:marker>
            <c:symbol val="none"/>
          </c:marker>
          <c:xVal>
            <c:numRef>
              <c:f>'Design Nala Bund Drg &amp; Summ (P)'!$X$12:$X$27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(P)'!$AB$12:$AB$27</c:f>
              <c:numCache>
                <c:formatCode>General</c:formatCode>
                <c:ptCount val="16"/>
                <c:pt idx="0">
                  <c:v>100</c:v>
                </c:pt>
                <c:pt idx="1">
                  <c:v>100</c:v>
                </c:pt>
                <c:pt idx="2">
                  <c:v>100</c:v>
                </c:pt>
                <c:pt idx="3">
                  <c:v>100</c:v>
                </c:pt>
                <c:pt idx="4">
                  <c:v>100</c:v>
                </c:pt>
                <c:pt idx="5">
                  <c:v>100</c:v>
                </c:pt>
                <c:pt idx="6">
                  <c:v>100</c:v>
                </c:pt>
                <c:pt idx="7">
                  <c:v>100</c:v>
                </c:pt>
                <c:pt idx="8">
                  <c:v>100</c:v>
                </c:pt>
                <c:pt idx="9">
                  <c:v>100</c:v>
                </c:pt>
                <c:pt idx="10">
                  <c:v>100</c:v>
                </c:pt>
              </c:numCache>
            </c:numRef>
          </c:yVal>
          <c:smooth val="0"/>
          <c:extLst>
            <c:ext xmlns:c16="http://schemas.microsoft.com/office/drawing/2014/chart" uri="{C3380CC4-5D6E-409C-BE32-E72D297353CC}">
              <c16:uniqueId val="{00000003-1887-41CF-9CC2-34DDA71470AD}"/>
            </c:ext>
          </c:extLst>
        </c:ser>
        <c:ser>
          <c:idx val="9"/>
          <c:order val="4"/>
          <c:tx>
            <c:strRef>
              <c:f>'Design Nala Bund Drg &amp; Summ (P)'!$AC$10</c:f>
              <c:strCache>
                <c:ptCount val="1"/>
                <c:pt idx="0">
                  <c:v>HFL</c:v>
                </c:pt>
              </c:strCache>
            </c:strRef>
          </c:tx>
          <c:spPr>
            <a:ln w="9525" cap="rnd">
              <a:solidFill>
                <a:schemeClr val="tx1">
                  <a:alpha val="65000"/>
                </a:schemeClr>
              </a:solidFill>
              <a:prstDash val="dash"/>
              <a:round/>
            </a:ln>
            <a:effectLst/>
          </c:spPr>
          <c:marker>
            <c:symbol val="none"/>
          </c:marker>
          <c:xVal>
            <c:numRef>
              <c:f>'Design Nala Bund Drg &amp; Summ (P)'!$X$12:$X$27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(P)'!$AC$12:$AC$27</c:f>
              <c:numCache>
                <c:formatCode>0.00</c:formatCode>
                <c:ptCount val="16"/>
                <c:pt idx="0" formatCode="0.0">
                  <c:v>98.8</c:v>
                </c:pt>
                <c:pt idx="1">
                  <c:v>98.8</c:v>
                </c:pt>
                <c:pt idx="2">
                  <c:v>98.8</c:v>
                </c:pt>
                <c:pt idx="3">
                  <c:v>98.8</c:v>
                </c:pt>
                <c:pt idx="4">
                  <c:v>98.8</c:v>
                </c:pt>
                <c:pt idx="5">
                  <c:v>98.8</c:v>
                </c:pt>
                <c:pt idx="6">
                  <c:v>98.8</c:v>
                </c:pt>
                <c:pt idx="7">
                  <c:v>98.8</c:v>
                </c:pt>
                <c:pt idx="8">
                  <c:v>98.8</c:v>
                </c:pt>
                <c:pt idx="9">
                  <c:v>98.8</c:v>
                </c:pt>
                <c:pt idx="10">
                  <c:v>98.8</c:v>
                </c:pt>
                <c:pt idx="11">
                  <c:v>98.8</c:v>
                </c:pt>
                <c:pt idx="12">
                  <c:v>98.8</c:v>
                </c:pt>
                <c:pt idx="13">
                  <c:v>98.8</c:v>
                </c:pt>
              </c:numCache>
            </c:numRef>
          </c:yVal>
          <c:smooth val="0"/>
          <c:extLst>
            <c:ext xmlns:c16="http://schemas.microsoft.com/office/drawing/2014/chart" uri="{C3380CC4-5D6E-409C-BE32-E72D297353CC}">
              <c16:uniqueId val="{00000004-1887-41CF-9CC2-34DDA71470AD}"/>
            </c:ext>
          </c:extLst>
        </c:ser>
        <c:ser>
          <c:idx val="0"/>
          <c:order val="5"/>
          <c:tx>
            <c:strRef>
              <c:f>'Design Nala Bund Drg &amp; Summ (P)'!$Y$10</c:f>
              <c:strCache>
                <c:ptCount val="1"/>
                <c:pt idx="0">
                  <c:v>GL</c:v>
                </c:pt>
              </c:strCache>
            </c:strRef>
          </c:tx>
          <c:spPr>
            <a:ln w="19050" cap="rnd">
              <a:solidFill>
                <a:schemeClr val="accent1"/>
              </a:solidFill>
              <a:round/>
            </a:ln>
            <a:effectLst/>
          </c:spPr>
          <c:marker>
            <c:symbol val="none"/>
          </c:marker>
          <c:dLbls>
            <c:dLbl>
              <c:idx val="5"/>
              <c:layout>
                <c:manualLayout>
                  <c:x val="-3.5608308605341442E-2"/>
                  <c:y val="3.1340202115080401E-2"/>
                </c:manualLayout>
              </c:layout>
              <c:tx>
                <c:rich>
                  <a:bodyPr/>
                  <a:lstStyle/>
                  <a:p>
                    <a:r>
                      <a:rPr lang="en-US"/>
                      <a:t>95.1</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7.1142433234421376E-2"/>
                      <c:h val="4.2837237719004759E-2"/>
                    </c:manualLayout>
                  </c15:layout>
                </c:ext>
                <c:ext xmlns:c16="http://schemas.microsoft.com/office/drawing/2014/chart" uri="{C3380CC4-5D6E-409C-BE32-E72D297353CC}">
                  <c16:uniqueId val="{00000005-1887-41CF-9CC2-34DDA71470AD}"/>
                </c:ext>
              </c:extLst>
            </c:dLbl>
            <c:dLbl>
              <c:idx val="6"/>
              <c:layout>
                <c:manualLayout>
                  <c:x val="-1.0385756676557863E-2"/>
                  <c:y val="9.8969059310780021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1887-41CF-9CC2-34DDA71470AD}"/>
                </c:ext>
              </c:extLst>
            </c:dLbl>
            <c:dLbl>
              <c:idx val="7"/>
              <c:layout>
                <c:manualLayout>
                  <c:x val="-7.4183976261128571E-3"/>
                  <c:y val="3.298968643692689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887-41CF-9CC2-34DDA71470AD}"/>
                </c:ext>
              </c:extLst>
            </c:dLbl>
            <c:dLbl>
              <c:idx val="8"/>
              <c:layout>
                <c:manualLayout>
                  <c:x val="-5.8910162002945524E-3"/>
                  <c:y val="1.913620861983239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EF4C-4FE2-8AA5-6ECF8EE4D59A}"/>
                </c:ext>
              </c:extLst>
            </c:dLbl>
            <c:dLbl>
              <c:idx val="10"/>
              <c:layout>
                <c:manualLayout>
                  <c:x val="-1.914580265095735E-2"/>
                  <c:y val="-4.784052154958091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F4C-4FE2-8AA5-6ECF8EE4D59A}"/>
                </c:ext>
              </c:extLst>
            </c:dLbl>
            <c:dLbl>
              <c:idx val="11"/>
              <c:layout>
                <c:manualLayout>
                  <c:x val="-7.3637702503681884E-3"/>
                  <c:y val="-1.913620861983240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F4C-4FE2-8AA5-6ECF8EE4D59A}"/>
                </c:ext>
              </c:extLst>
            </c:dLbl>
            <c:spPr>
              <a:noFill/>
              <a:ln w="25400">
                <a:noFill/>
              </a:ln>
            </c:spPr>
            <c:txPr>
              <a:bodyPr/>
              <a:lstStyle/>
              <a:p>
                <a:pPr>
                  <a:defRPr lang="en-IN" sz="900" b="0" i="0" u="none" strike="noStrike" baseline="0">
                    <a:solidFill>
                      <a:srgbClr val="333333"/>
                    </a:solidFill>
                    <a:latin typeface="Calibri"/>
                    <a:ea typeface="Calibri"/>
                    <a:cs typeface="Calibri"/>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ext>
            </c:extLst>
          </c:dLbls>
          <c:xVal>
            <c:numRef>
              <c:f>'Design Nala Bund Drg &amp; Summ (P)'!$X$12:$X$29</c:f>
              <c:numCache>
                <c:formatCode>General</c:formatCode>
                <c:ptCount val="18"/>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(P)'!$Y$12:$Y$29</c:f>
              <c:numCache>
                <c:formatCode>0.0</c:formatCode>
                <c:ptCount val="18"/>
                <c:pt idx="0">
                  <c:v>100</c:v>
                </c:pt>
                <c:pt idx="1">
                  <c:v>96.9</c:v>
                </c:pt>
                <c:pt idx="2">
                  <c:v>96.2</c:v>
                </c:pt>
                <c:pt idx="3">
                  <c:v>95.8</c:v>
                </c:pt>
                <c:pt idx="4">
                  <c:v>95.4</c:v>
                </c:pt>
                <c:pt idx="5">
                  <c:v>95.1</c:v>
                </c:pt>
                <c:pt idx="6">
                  <c:v>95</c:v>
                </c:pt>
                <c:pt idx="7">
                  <c:v>95.1</c:v>
                </c:pt>
                <c:pt idx="8">
                  <c:v>95.4</c:v>
                </c:pt>
                <c:pt idx="9">
                  <c:v>96.7</c:v>
                </c:pt>
                <c:pt idx="10">
                  <c:v>100</c:v>
                </c:pt>
                <c:pt idx="11">
                  <c:v>100.3</c:v>
                </c:pt>
                <c:pt idx="12">
                  <c:v>97.6</c:v>
                </c:pt>
                <c:pt idx="13">
                  <c:v>97.6</c:v>
                </c:pt>
                <c:pt idx="14">
                  <c:v>100.3</c:v>
                </c:pt>
                <c:pt idx="15">
                  <c:v>100.3</c:v>
                </c:pt>
              </c:numCache>
            </c:numRef>
          </c:yVal>
          <c:smooth val="0"/>
          <c:extLst>
            <c:ext xmlns:c16="http://schemas.microsoft.com/office/drawing/2014/chart" uri="{C3380CC4-5D6E-409C-BE32-E72D297353CC}">
              <c16:uniqueId val="{00000008-1887-41CF-9CC2-34DDA71470AD}"/>
            </c:ext>
          </c:extLst>
        </c:ser>
        <c:ser>
          <c:idx val="1"/>
          <c:order val="6"/>
          <c:tx>
            <c:strRef>
              <c:f>'Design Nala Bund Drg &amp; Summ (P)'!$Z$10</c:f>
              <c:strCache>
                <c:ptCount val="1"/>
                <c:pt idx="0">
                  <c:v>FRL</c:v>
                </c:pt>
              </c:strCache>
            </c:strRef>
          </c:tx>
          <c:spPr>
            <a:ln w="19050" cap="rnd">
              <a:solidFill>
                <a:srgbClr val="00B0F0">
                  <a:alpha val="59000"/>
                </a:srgbClr>
              </a:solidFill>
              <a:prstDash val="dashDot"/>
              <a:round/>
            </a:ln>
            <a:effectLst/>
          </c:spPr>
          <c:marker>
            <c:symbol val="none"/>
          </c:marker>
          <c:xVal>
            <c:numRef>
              <c:f>'Design Nala Bund Drg &amp; Summ (P)'!$X$12:$X$27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(P)'!$Z$12:$Z$27</c:f>
              <c:numCache>
                <c:formatCode>0.0</c:formatCode>
                <c:ptCount val="16"/>
                <c:pt idx="0">
                  <c:v>97.899999999999991</c:v>
                </c:pt>
                <c:pt idx="1">
                  <c:v>97.899999999999991</c:v>
                </c:pt>
                <c:pt idx="2">
                  <c:v>97.899999999999991</c:v>
                </c:pt>
                <c:pt idx="3">
                  <c:v>97.899999999999991</c:v>
                </c:pt>
                <c:pt idx="4">
                  <c:v>97.899999999999991</c:v>
                </c:pt>
                <c:pt idx="5">
                  <c:v>97.899999999999991</c:v>
                </c:pt>
                <c:pt idx="6">
                  <c:v>97.899999999999991</c:v>
                </c:pt>
                <c:pt idx="7">
                  <c:v>97.899999999999991</c:v>
                </c:pt>
                <c:pt idx="8">
                  <c:v>97.899999999999991</c:v>
                </c:pt>
                <c:pt idx="9">
                  <c:v>97.899999999999991</c:v>
                </c:pt>
                <c:pt idx="10">
                  <c:v>97.899999999999991</c:v>
                </c:pt>
                <c:pt idx="11">
                  <c:v>97.899999999999991</c:v>
                </c:pt>
                <c:pt idx="12">
                  <c:v>97.899999999999991</c:v>
                </c:pt>
                <c:pt idx="13">
                  <c:v>97.899999999999991</c:v>
                </c:pt>
              </c:numCache>
            </c:numRef>
          </c:yVal>
          <c:smooth val="0"/>
          <c:extLst>
            <c:ext xmlns:c16="http://schemas.microsoft.com/office/drawing/2014/chart" uri="{C3380CC4-5D6E-409C-BE32-E72D297353CC}">
              <c16:uniqueId val="{00000009-1887-41CF-9CC2-34DDA71470AD}"/>
            </c:ext>
          </c:extLst>
        </c:ser>
        <c:ser>
          <c:idx val="2"/>
          <c:order val="7"/>
          <c:tx>
            <c:strRef>
              <c:f>'Design Nala Bund Drg &amp; Summ (P)'!$AA$9</c:f>
              <c:strCache>
                <c:ptCount val="1"/>
                <c:pt idx="0">
                  <c:v>Settelment Allowance</c:v>
                </c:pt>
              </c:strCache>
            </c:strRef>
          </c:tx>
          <c:spPr>
            <a:ln w="9525" cap="rnd">
              <a:solidFill>
                <a:schemeClr val="tx1">
                  <a:alpha val="68000"/>
                </a:schemeClr>
              </a:solidFill>
              <a:prstDash val="lgDash"/>
              <a:round/>
            </a:ln>
            <a:effectLst/>
          </c:spPr>
          <c:marker>
            <c:symbol val="none"/>
          </c:marker>
          <c:xVal>
            <c:numRef>
              <c:f>'Design Nala Bund Drg &amp; Summ (P)'!$X$12:$X$27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(P)'!$AA$12:$AA$27</c:f>
              <c:numCache>
                <c:formatCode>0.00</c:formatCode>
                <c:ptCount val="16"/>
                <c:pt idx="0" formatCode="General">
                  <c:v>100</c:v>
                </c:pt>
                <c:pt idx="1">
                  <c:v>100.465</c:v>
                </c:pt>
                <c:pt idx="2">
                  <c:v>100.38</c:v>
                </c:pt>
                <c:pt idx="3">
                  <c:v>100.42</c:v>
                </c:pt>
                <c:pt idx="4">
                  <c:v>100.46</c:v>
                </c:pt>
                <c:pt idx="5">
                  <c:v>100.49</c:v>
                </c:pt>
                <c:pt idx="6">
                  <c:v>100.5</c:v>
                </c:pt>
                <c:pt idx="7">
                  <c:v>100.49</c:v>
                </c:pt>
                <c:pt idx="8">
                  <c:v>100.46</c:v>
                </c:pt>
                <c:pt idx="9">
                  <c:v>100.33</c:v>
                </c:pt>
                <c:pt idx="10">
                  <c:v>100</c:v>
                </c:pt>
              </c:numCache>
            </c:numRef>
          </c:yVal>
          <c:smooth val="0"/>
          <c:extLst>
            <c:ext xmlns:c16="http://schemas.microsoft.com/office/drawing/2014/chart" uri="{C3380CC4-5D6E-409C-BE32-E72D297353CC}">
              <c16:uniqueId val="{0000000A-1887-41CF-9CC2-34DDA71470AD}"/>
            </c:ext>
          </c:extLst>
        </c:ser>
        <c:ser>
          <c:idx val="3"/>
          <c:order val="8"/>
          <c:tx>
            <c:strRef>
              <c:f>'Design Nala Bund Drg &amp; Summ (P)'!$AB$10</c:f>
              <c:strCache>
                <c:ptCount val="1"/>
                <c:pt idx="0">
                  <c:v>TBL</c:v>
                </c:pt>
              </c:strCache>
            </c:strRef>
          </c:tx>
          <c:spPr>
            <a:ln w="19050" cap="rnd">
              <a:solidFill>
                <a:schemeClr val="accent4"/>
              </a:solidFill>
              <a:round/>
            </a:ln>
            <a:effectLst/>
          </c:spPr>
          <c:marker>
            <c:symbol val="none"/>
          </c:marker>
          <c:xVal>
            <c:numRef>
              <c:f>'Design Nala Bund Drg &amp; Summ (P)'!$X$12:$X$29</c:f>
              <c:numCache>
                <c:formatCode>General</c:formatCode>
                <c:ptCount val="18"/>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(P)'!$AB$12:$AB$27</c:f>
              <c:numCache>
                <c:formatCode>General</c:formatCode>
                <c:ptCount val="16"/>
                <c:pt idx="0">
                  <c:v>100</c:v>
                </c:pt>
                <c:pt idx="1">
                  <c:v>100</c:v>
                </c:pt>
                <c:pt idx="2">
                  <c:v>100</c:v>
                </c:pt>
                <c:pt idx="3">
                  <c:v>100</c:v>
                </c:pt>
                <c:pt idx="4">
                  <c:v>100</c:v>
                </c:pt>
                <c:pt idx="5">
                  <c:v>100</c:v>
                </c:pt>
                <c:pt idx="6">
                  <c:v>100</c:v>
                </c:pt>
                <c:pt idx="7">
                  <c:v>100</c:v>
                </c:pt>
                <c:pt idx="8">
                  <c:v>100</c:v>
                </c:pt>
                <c:pt idx="9">
                  <c:v>100</c:v>
                </c:pt>
                <c:pt idx="10">
                  <c:v>100</c:v>
                </c:pt>
              </c:numCache>
            </c:numRef>
          </c:yVal>
          <c:smooth val="0"/>
          <c:extLst>
            <c:ext xmlns:c16="http://schemas.microsoft.com/office/drawing/2014/chart" uri="{C3380CC4-5D6E-409C-BE32-E72D297353CC}">
              <c16:uniqueId val="{0000000B-1887-41CF-9CC2-34DDA71470AD}"/>
            </c:ext>
          </c:extLst>
        </c:ser>
        <c:ser>
          <c:idx val="4"/>
          <c:order val="9"/>
          <c:tx>
            <c:strRef>
              <c:f>'Design Nala Bund Drg &amp; Summ (P)'!$AC$10</c:f>
              <c:strCache>
                <c:ptCount val="1"/>
                <c:pt idx="0">
                  <c:v>HFL</c:v>
                </c:pt>
              </c:strCache>
            </c:strRef>
          </c:tx>
          <c:spPr>
            <a:ln w="9525" cap="rnd">
              <a:solidFill>
                <a:schemeClr val="accent6">
                  <a:lumMod val="75000"/>
                  <a:alpha val="65000"/>
                </a:schemeClr>
              </a:solidFill>
              <a:prstDash val="dash"/>
              <a:round/>
            </a:ln>
            <a:effectLst/>
          </c:spPr>
          <c:marker>
            <c:symbol val="none"/>
          </c:marker>
          <c:xVal>
            <c:numRef>
              <c:f>'Design Nala Bund Drg &amp; Summ (P)'!$X$12:$X$27</c:f>
              <c:numCache>
                <c:formatCode>General</c:formatCode>
                <c:ptCount val="16"/>
                <c:pt idx="0">
                  <c:v>0</c:v>
                </c:pt>
                <c:pt idx="1">
                  <c:v>4</c:v>
                </c:pt>
                <c:pt idx="2">
                  <c:v>8</c:v>
                </c:pt>
                <c:pt idx="3">
                  <c:v>12</c:v>
                </c:pt>
                <c:pt idx="4">
                  <c:v>16</c:v>
                </c:pt>
                <c:pt idx="5">
                  <c:v>20</c:v>
                </c:pt>
                <c:pt idx="6">
                  <c:v>24</c:v>
                </c:pt>
                <c:pt idx="7">
                  <c:v>28</c:v>
                </c:pt>
                <c:pt idx="8">
                  <c:v>32</c:v>
                </c:pt>
                <c:pt idx="9">
                  <c:v>36</c:v>
                </c:pt>
                <c:pt idx="10">
                  <c:v>40</c:v>
                </c:pt>
                <c:pt idx="11" formatCode="0.0">
                  <c:v>45</c:v>
                </c:pt>
                <c:pt idx="12" formatCode="0.0">
                  <c:v>46</c:v>
                </c:pt>
                <c:pt idx="13" formatCode="0.0">
                  <c:v>52.263359220412724</c:v>
                </c:pt>
                <c:pt idx="14" formatCode="0.0">
                  <c:v>53.263359220412724</c:v>
                </c:pt>
                <c:pt idx="15" formatCode="0.0">
                  <c:v>58.263359220412724</c:v>
                </c:pt>
              </c:numCache>
            </c:numRef>
          </c:xVal>
          <c:yVal>
            <c:numRef>
              <c:f>'Design Nala Bund Drg &amp; Summ (P)'!$AC$12:$AC$27</c:f>
              <c:numCache>
                <c:formatCode>0.00</c:formatCode>
                <c:ptCount val="16"/>
                <c:pt idx="0" formatCode="0.0">
                  <c:v>98.8</c:v>
                </c:pt>
                <c:pt idx="1">
                  <c:v>98.8</c:v>
                </c:pt>
                <c:pt idx="2">
                  <c:v>98.8</c:v>
                </c:pt>
                <c:pt idx="3">
                  <c:v>98.8</c:v>
                </c:pt>
                <c:pt idx="4">
                  <c:v>98.8</c:v>
                </c:pt>
                <c:pt idx="5">
                  <c:v>98.8</c:v>
                </c:pt>
                <c:pt idx="6">
                  <c:v>98.8</c:v>
                </c:pt>
                <c:pt idx="7">
                  <c:v>98.8</c:v>
                </c:pt>
                <c:pt idx="8">
                  <c:v>98.8</c:v>
                </c:pt>
                <c:pt idx="9">
                  <c:v>98.8</c:v>
                </c:pt>
                <c:pt idx="10">
                  <c:v>98.8</c:v>
                </c:pt>
                <c:pt idx="11">
                  <c:v>98.8</c:v>
                </c:pt>
                <c:pt idx="12">
                  <c:v>98.8</c:v>
                </c:pt>
                <c:pt idx="13">
                  <c:v>98.8</c:v>
                </c:pt>
              </c:numCache>
            </c:numRef>
          </c:yVal>
          <c:smooth val="0"/>
          <c:extLst>
            <c:ext xmlns:c16="http://schemas.microsoft.com/office/drawing/2014/chart" uri="{C3380CC4-5D6E-409C-BE32-E72D297353CC}">
              <c16:uniqueId val="{0000000C-1887-41CF-9CC2-34DDA71470AD}"/>
            </c:ext>
          </c:extLst>
        </c:ser>
        <c:dLbls>
          <c:showLegendKey val="0"/>
          <c:showVal val="0"/>
          <c:showCatName val="0"/>
          <c:showSerName val="0"/>
          <c:showPercent val="0"/>
          <c:showBubbleSize val="0"/>
        </c:dLbls>
        <c:axId val="89342336"/>
        <c:axId val="89343872"/>
      </c:scatterChart>
      <c:valAx>
        <c:axId val="89342336"/>
        <c:scaling>
          <c:orientation val="minMax"/>
        </c:scaling>
        <c:delete val="0"/>
        <c:axPos val="b"/>
        <c:majorGridlines>
          <c:spPr>
            <a:ln w="9525" cap="flat" cmpd="sng" algn="ctr">
              <a:solidFill>
                <a:schemeClr val="tx1">
                  <a:alpha val="58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lang="en-IN" sz="900" b="0" i="0" u="none" strike="noStrike" baseline="0">
                <a:solidFill>
                  <a:srgbClr val="333333"/>
                </a:solidFill>
                <a:latin typeface="Calibri"/>
                <a:ea typeface="Calibri"/>
                <a:cs typeface="Calibri"/>
              </a:defRPr>
            </a:pPr>
            <a:endParaRPr lang="en-US"/>
          </a:p>
        </c:txPr>
        <c:crossAx val="89343872"/>
        <c:crosses val="autoZero"/>
        <c:crossBetween val="midCat"/>
      </c:valAx>
      <c:valAx>
        <c:axId val="89343872"/>
        <c:scaling>
          <c:orientation val="minMax"/>
        </c:scaling>
        <c:delete val="0"/>
        <c:axPos val="l"/>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lang="en-IN" sz="900" b="0" i="0" u="none" strike="noStrike" baseline="0">
                <a:solidFill>
                  <a:srgbClr val="333333"/>
                </a:solidFill>
                <a:latin typeface="Calibri"/>
                <a:ea typeface="Calibri"/>
                <a:cs typeface="Calibri"/>
              </a:defRPr>
            </a:pPr>
            <a:endParaRPr lang="en-US"/>
          </a:p>
        </c:txPr>
        <c:crossAx val="89342336"/>
        <c:crosses val="autoZero"/>
        <c:crossBetween val="midCat"/>
      </c:valAx>
      <c:spPr>
        <a:noFill/>
        <a:ln>
          <a:solidFill>
            <a:schemeClr val="tx1"/>
          </a:solidFill>
        </a:ln>
        <a:effectLst/>
      </c:spPr>
    </c:plotArea>
    <c:legend>
      <c:legendPos val="b"/>
      <c:legendEntry>
        <c:idx val="2"/>
        <c:delete val="1"/>
      </c:legendEntry>
      <c:legendEntry>
        <c:idx val="5"/>
        <c:delete val="1"/>
      </c:legendEntry>
      <c:legendEntry>
        <c:idx val="6"/>
        <c:delete val="1"/>
      </c:legendEntry>
      <c:legendEntry>
        <c:idx val="8"/>
        <c:delete val="1"/>
      </c:legendEntry>
      <c:legendEntry>
        <c:idx val="9"/>
        <c:delete val="1"/>
      </c:legendEntry>
      <c:layout>
        <c:manualLayout>
          <c:xMode val="edge"/>
          <c:yMode val="edge"/>
          <c:x val="0.67954090484452512"/>
          <c:y val="0.75982811450894594"/>
          <c:w val="0.29161356525349791"/>
          <c:h val="0.15934859305377524"/>
        </c:manualLayout>
      </c:layout>
      <c:overlay val="0"/>
      <c:spPr>
        <a:solidFill>
          <a:schemeClr val="bg1"/>
        </a:solidFill>
        <a:ln>
          <a:solidFill>
            <a:schemeClr val="tx1">
              <a:alpha val="58000"/>
            </a:schemeClr>
          </a:solidFill>
        </a:ln>
        <a:effectLst/>
      </c:spPr>
      <c:txPr>
        <a:bodyPr/>
        <a:lstStyle/>
        <a:p>
          <a:pPr>
            <a:defRPr lang="en-IN" sz="690" b="1" i="0" u="none" strike="noStrike" baseline="0">
              <a:solidFill>
                <a:srgbClr val="333333"/>
              </a:solidFill>
              <a:latin typeface="Calibri"/>
              <a:ea typeface="Calibri"/>
              <a:cs typeface="Calibri"/>
            </a:defRPr>
          </a:pPr>
          <a:endParaRPr lang="en-US"/>
        </a:p>
      </c:txPr>
    </c:legend>
    <c:plotVisOnly val="1"/>
    <c:dispBlanksAs val="gap"/>
    <c:showDLblsOverMax val="0"/>
  </c:chart>
  <c:spPr>
    <a:noFill/>
    <a:ln w="9525"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44" r="0.75000000000000344"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4.jpeg"/><Relationship Id="rId1" Type="http://schemas.openxmlformats.org/officeDocument/2006/relationships/chart" Target="../charts/chart1.xml"/><Relationship Id="rId5" Type="http://schemas.openxmlformats.org/officeDocument/2006/relationships/image" Target="../media/image8.jpe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4.jpeg"/><Relationship Id="rId1" Type="http://schemas.openxmlformats.org/officeDocument/2006/relationships/chart" Target="../charts/chart4.xml"/><Relationship Id="rId5" Type="http://schemas.openxmlformats.org/officeDocument/2006/relationships/image" Target="../media/image8.jpeg"/><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45582</xdr:colOff>
      <xdr:row>1</xdr:row>
      <xdr:rowOff>54429</xdr:rowOff>
    </xdr:from>
    <xdr:to>
      <xdr:col>11</xdr:col>
      <xdr:colOff>2381250</xdr:colOff>
      <xdr:row>21</xdr:row>
      <xdr:rowOff>261937</xdr:rowOff>
    </xdr:to>
    <xdr:pic>
      <xdr:nvPicPr>
        <xdr:cNvPr id="632884" name="Picture 4">
          <a:extLst>
            <a:ext uri="{FF2B5EF4-FFF2-40B4-BE49-F238E27FC236}">
              <a16:creationId xmlns:a16="http://schemas.microsoft.com/office/drawing/2014/main" id="{00000000-0008-0000-0100-000034A80900}"/>
            </a:ext>
          </a:extLst>
        </xdr:cNvPr>
        <xdr:cNvPicPr>
          <a:picLocks noChangeAspect="1"/>
        </xdr:cNvPicPr>
      </xdr:nvPicPr>
      <xdr:blipFill>
        <a:blip xmlns:r="http://schemas.openxmlformats.org/officeDocument/2006/relationships" r:embed="rId1" cstate="print"/>
        <a:srcRect/>
        <a:stretch>
          <a:fillRect/>
        </a:stretch>
      </xdr:blipFill>
      <xdr:spPr bwMode="auto">
        <a:xfrm>
          <a:off x="6205082" y="213179"/>
          <a:ext cx="5629731" cy="5358946"/>
        </a:xfrm>
        <a:prstGeom prst="rect">
          <a:avLst/>
        </a:prstGeom>
        <a:noFill/>
        <a:ln w="9525">
          <a:noFill/>
          <a:miter lim="800000"/>
          <a:headEnd/>
          <a:tailEnd/>
        </a:ln>
      </xdr:spPr>
    </xdr:pic>
    <xdr:clientData/>
  </xdr:twoCellAnchor>
  <xdr:twoCellAnchor editAs="oneCell">
    <xdr:from>
      <xdr:col>5</xdr:col>
      <xdr:colOff>95250</xdr:colOff>
      <xdr:row>24</xdr:row>
      <xdr:rowOff>98425</xdr:rowOff>
    </xdr:from>
    <xdr:to>
      <xdr:col>11</xdr:col>
      <xdr:colOff>1077595</xdr:colOff>
      <xdr:row>24</xdr:row>
      <xdr:rowOff>100666</xdr:rowOff>
    </xdr:to>
    <xdr:pic>
      <xdr:nvPicPr>
        <xdr:cNvPr id="632885" name="Picture 5">
          <a:extLst>
            <a:ext uri="{FF2B5EF4-FFF2-40B4-BE49-F238E27FC236}">
              <a16:creationId xmlns:a16="http://schemas.microsoft.com/office/drawing/2014/main" id="{00000000-0008-0000-0100-000035A80900}"/>
            </a:ext>
          </a:extLst>
        </xdr:cNvPr>
        <xdr:cNvPicPr>
          <a:picLocks noChangeAspect="1" noChangeArrowheads="1"/>
        </xdr:cNvPicPr>
      </xdr:nvPicPr>
      <xdr:blipFill>
        <a:blip xmlns:r="http://schemas.openxmlformats.org/officeDocument/2006/relationships" r:embed="rId2" cstate="print"/>
        <a:srcRect l="3062" r="2342"/>
        <a:stretch>
          <a:fillRect/>
        </a:stretch>
      </xdr:blipFill>
      <xdr:spPr bwMode="auto">
        <a:xfrm>
          <a:off x="6088063" y="5456238"/>
          <a:ext cx="4822825" cy="3282950"/>
        </a:xfrm>
        <a:prstGeom prst="rect">
          <a:avLst/>
        </a:prstGeom>
        <a:noFill/>
        <a:ln w="9525">
          <a:noFill/>
          <a:miter lim="800000"/>
          <a:headEnd/>
          <a:tailEnd/>
        </a:ln>
      </xdr:spPr>
    </xdr:pic>
    <xdr:clientData/>
  </xdr:twoCellAnchor>
  <xdr:twoCellAnchor>
    <xdr:from>
      <xdr:col>6</xdr:col>
      <xdr:colOff>92980</xdr:colOff>
      <xdr:row>21</xdr:row>
      <xdr:rowOff>320900</xdr:rowOff>
    </xdr:from>
    <xdr:to>
      <xdr:col>11</xdr:col>
      <xdr:colOff>2141991</xdr:colOff>
      <xdr:row>23</xdr:row>
      <xdr:rowOff>190499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228668" y="5400900"/>
          <a:ext cx="5343073" cy="4490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a:t>SAMARTHYA Fig</a:t>
          </a:r>
          <a:r>
            <a:rPr lang="en-US" sz="1100" b="1" baseline="0"/>
            <a:t> 3.12: </a:t>
          </a:r>
          <a:r>
            <a:rPr lang="en-US" sz="1100" b="1"/>
            <a:t>One</a:t>
          </a:r>
          <a:r>
            <a:rPr lang="en-US" sz="1100" b="1" baseline="0"/>
            <a:t> hour</a:t>
          </a:r>
          <a:r>
            <a:rPr lang="en-US" sz="1100" b="1"/>
            <a:t> Rainfall Intensity for 25</a:t>
          </a:r>
          <a:r>
            <a:rPr lang="en-US" sz="1100" b="1" baseline="0"/>
            <a:t> year </a:t>
          </a:r>
          <a:r>
            <a:rPr lang="en-US" sz="1100" b="1"/>
            <a:t>frequency  </a:t>
          </a:r>
          <a:r>
            <a:rPr lang="en-US" sz="1100" b="1" baseline="0">
              <a:solidFill>
                <a:schemeClr val="dk1"/>
              </a:solidFill>
              <a:latin typeface="+mn-lt"/>
              <a:ea typeface="+mn-ea"/>
              <a:cs typeface="+mn-cs"/>
            </a:rPr>
            <a:t>for different areas</a:t>
          </a:r>
          <a:r>
            <a:rPr lang="en-US" sz="1100" b="1"/>
            <a:t> in India </a:t>
          </a:r>
          <a:r>
            <a:rPr lang="en-US" sz="1100" b="1" baseline="0"/>
            <a:t> </a:t>
          </a:r>
          <a:endParaRPr lang="en-US" sz="1100" b="1"/>
        </a:p>
      </xdr:txBody>
    </xdr:sp>
    <xdr:clientData/>
  </xdr:twoCellAnchor>
  <xdr:twoCellAnchor editAs="oneCell">
    <xdr:from>
      <xdr:col>6</xdr:col>
      <xdr:colOff>55563</xdr:colOff>
      <xdr:row>23</xdr:row>
      <xdr:rowOff>106587</xdr:rowOff>
    </xdr:from>
    <xdr:to>
      <xdr:col>11</xdr:col>
      <xdr:colOff>2365375</xdr:colOff>
      <xdr:row>44</xdr:row>
      <xdr:rowOff>127000</xdr:rowOff>
    </xdr:to>
    <xdr:pic>
      <xdr:nvPicPr>
        <xdr:cNvPr id="6" name="Picture 5" descr="Capture.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stretch>
          <a:fillRect/>
        </a:stretch>
      </xdr:blipFill>
      <xdr:spPr>
        <a:xfrm>
          <a:off x="6215063" y="5996212"/>
          <a:ext cx="5603875" cy="4909913"/>
        </a:xfrm>
        <a:prstGeom prst="rect">
          <a:avLst/>
        </a:prstGeom>
      </xdr:spPr>
    </xdr:pic>
    <xdr:clientData/>
  </xdr:twoCellAnchor>
  <xdr:twoCellAnchor editAs="oneCell">
    <xdr:from>
      <xdr:col>0</xdr:col>
      <xdr:colOff>0</xdr:colOff>
      <xdr:row>45</xdr:row>
      <xdr:rowOff>39687</xdr:rowOff>
    </xdr:from>
    <xdr:to>
      <xdr:col>5</xdr:col>
      <xdr:colOff>579437</xdr:colOff>
      <xdr:row>60</xdr:row>
      <xdr:rowOff>23813</xdr:rowOff>
    </xdr:to>
    <xdr:pic>
      <xdr:nvPicPr>
        <xdr:cNvPr id="8" name="Picture 5">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062" r="2342"/>
        <a:stretch>
          <a:fillRect/>
        </a:stretch>
      </xdr:blipFill>
      <xdr:spPr bwMode="auto">
        <a:xfrm>
          <a:off x="0" y="11049000"/>
          <a:ext cx="6127750" cy="2516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68</xdr:row>
      <xdr:rowOff>0</xdr:rowOff>
    </xdr:from>
    <xdr:to>
      <xdr:col>20</xdr:col>
      <xdr:colOff>76200</xdr:colOff>
      <xdr:row>68</xdr:row>
      <xdr:rowOff>25400</xdr:rowOff>
    </xdr:to>
    <xdr:sp macro="" textlink="">
      <xdr:nvSpPr>
        <xdr:cNvPr id="695597" name="Text Box 1">
          <a:extLst>
            <a:ext uri="{FF2B5EF4-FFF2-40B4-BE49-F238E27FC236}">
              <a16:creationId xmlns:a16="http://schemas.microsoft.com/office/drawing/2014/main" id="{00000000-0008-0000-0200-00002D9D0A00}"/>
            </a:ext>
          </a:extLst>
        </xdr:cNvPr>
        <xdr:cNvSpPr txBox="1">
          <a:spLocks noChangeArrowheads="1"/>
        </xdr:cNvSpPr>
      </xdr:nvSpPr>
      <xdr:spPr bwMode="auto">
        <a:xfrm>
          <a:off x="14592300" y="9496425"/>
          <a:ext cx="76200" cy="200025"/>
        </a:xfrm>
        <a:prstGeom prst="rect">
          <a:avLst/>
        </a:prstGeom>
        <a:noFill/>
        <a:ln w="9525">
          <a:noFill/>
          <a:miter lim="800000"/>
          <a:headEnd/>
          <a:tailEnd/>
        </a:ln>
      </xdr:spPr>
    </xdr:sp>
    <xdr:clientData/>
  </xdr:twoCellAnchor>
  <xdr:twoCellAnchor>
    <xdr:from>
      <xdr:col>5</xdr:col>
      <xdr:colOff>58208</xdr:colOff>
      <xdr:row>31</xdr:row>
      <xdr:rowOff>95255</xdr:rowOff>
    </xdr:from>
    <xdr:to>
      <xdr:col>19</xdr:col>
      <xdr:colOff>228601</xdr:colOff>
      <xdr:row>54</xdr:row>
      <xdr:rowOff>157696</xdr:rowOff>
    </xdr:to>
    <xdr:grpSp>
      <xdr:nvGrpSpPr>
        <xdr:cNvPr id="695598" name="Group 8">
          <a:extLst>
            <a:ext uri="{FF2B5EF4-FFF2-40B4-BE49-F238E27FC236}">
              <a16:creationId xmlns:a16="http://schemas.microsoft.com/office/drawing/2014/main" id="{00000000-0008-0000-0200-00002E9D0A00}"/>
            </a:ext>
          </a:extLst>
        </xdr:cNvPr>
        <xdr:cNvGrpSpPr>
          <a:grpSpLocks/>
        </xdr:cNvGrpSpPr>
      </xdr:nvGrpSpPr>
      <xdr:grpSpPr bwMode="auto">
        <a:xfrm>
          <a:off x="6355291" y="7821088"/>
          <a:ext cx="8637060" cy="4761441"/>
          <a:chOff x="16043178" y="6745165"/>
          <a:chExt cx="8401050" cy="3190875"/>
        </a:xfrm>
      </xdr:grpSpPr>
      <xdr:graphicFrame macro="">
        <xdr:nvGraphicFramePr>
          <xdr:cNvPr id="695602" name="Chart 8">
            <a:extLst>
              <a:ext uri="{FF2B5EF4-FFF2-40B4-BE49-F238E27FC236}">
                <a16:creationId xmlns:a16="http://schemas.microsoft.com/office/drawing/2014/main" id="{00000000-0008-0000-0200-0000329D0A00}"/>
              </a:ext>
            </a:extLst>
          </xdr:cNvPr>
          <xdr:cNvGraphicFramePr>
            <a:graphicFrameLocks/>
          </xdr:cNvGraphicFramePr>
        </xdr:nvGraphicFramePr>
        <xdr:xfrm>
          <a:off x="16043178" y="6745165"/>
          <a:ext cx="8401050" cy="31908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081" name="Text Box 9">
            <a:extLst>
              <a:ext uri="{FF2B5EF4-FFF2-40B4-BE49-F238E27FC236}">
                <a16:creationId xmlns:a16="http://schemas.microsoft.com/office/drawing/2014/main" id="{00000000-0008-0000-0200-0000090C0000}"/>
              </a:ext>
            </a:extLst>
          </xdr:cNvPr>
          <xdr:cNvSpPr txBox="1">
            <a:spLocks noChangeArrowheads="1"/>
          </xdr:cNvSpPr>
        </xdr:nvSpPr>
        <xdr:spPr bwMode="auto">
          <a:xfrm>
            <a:off x="17754715" y="7699901"/>
            <a:ext cx="4923036" cy="983291"/>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HFL</a:t>
            </a:r>
          </a:p>
          <a:p>
            <a:pPr algn="l" rtl="0">
              <a:defRPr sz="1000"/>
            </a:pPr>
            <a:endParaRPr lang="en-US" sz="800" b="1" i="0" strike="noStrike">
              <a:solidFill>
                <a:srgbClr val="000000"/>
              </a:solidFill>
              <a:latin typeface="Arial"/>
              <a:cs typeface="Arial"/>
            </a:endParaRPr>
          </a:p>
          <a:p>
            <a:pPr algn="l" rtl="0">
              <a:defRPr sz="1000"/>
            </a:pPr>
            <a:r>
              <a:rPr lang="en-US" sz="800" b="1" i="0" strike="noStrike">
                <a:solidFill>
                  <a:srgbClr val="000000"/>
                </a:solidFill>
                <a:latin typeface="Arial"/>
                <a:cs typeface="Arial"/>
              </a:rPr>
              <a:t>FRL    </a:t>
            </a:r>
          </a:p>
          <a:p>
            <a:pPr algn="l" rtl="0">
              <a:defRPr sz="1000"/>
            </a:pPr>
            <a:r>
              <a:rPr lang="en-US" sz="800" b="1" i="0" strike="noStrike">
                <a:solidFill>
                  <a:srgbClr val="000000"/>
                </a:solidFill>
                <a:latin typeface="Arial"/>
                <a:cs typeface="Arial"/>
              </a:rPr>
              <a:t>               U/S</a:t>
            </a:r>
            <a:r>
              <a:rPr lang="en-US" sz="800" b="1" i="0" strike="noStrike" baseline="0">
                <a:solidFill>
                  <a:srgbClr val="000000"/>
                </a:solidFill>
                <a:latin typeface="Arial"/>
                <a:cs typeface="Arial"/>
              </a:rPr>
              <a:t> 3:1</a:t>
            </a:r>
            <a:r>
              <a:rPr lang="en-US" sz="800" b="1" i="0" strike="noStrike">
                <a:solidFill>
                  <a:srgbClr val="000000"/>
                </a:solidFill>
                <a:latin typeface="Arial"/>
                <a:cs typeface="Arial"/>
              </a:rPr>
              <a:t>                                                                     Core wall	                                   D/S 2:1</a:t>
            </a:r>
          </a:p>
          <a:p>
            <a:pPr algn="l" rtl="0">
              <a:defRPr sz="1000"/>
            </a:pPr>
            <a:r>
              <a:rPr lang="en-US" sz="800" b="1" i="0" strike="noStrike">
                <a:solidFill>
                  <a:srgbClr val="000000"/>
                </a:solidFill>
                <a:latin typeface="Arial"/>
                <a:cs typeface="Arial"/>
              </a:rPr>
              <a:t>                     </a:t>
            </a:r>
          </a:p>
          <a:p>
            <a:pPr algn="l" rtl="0">
              <a:defRPr sz="1000"/>
            </a:pPr>
            <a:endParaRPr lang="en-US" sz="800" b="1" i="0" strike="noStrike">
              <a:solidFill>
                <a:srgbClr val="000000"/>
              </a:solidFill>
              <a:latin typeface="Arial"/>
              <a:cs typeface="Arial"/>
            </a:endParaRPr>
          </a:p>
        </xdr:txBody>
      </xdr:sp>
      <xdr:sp macro="" textlink="">
        <xdr:nvSpPr>
          <xdr:cNvPr id="3084" name="Text Box 12">
            <a:extLst>
              <a:ext uri="{FF2B5EF4-FFF2-40B4-BE49-F238E27FC236}">
                <a16:creationId xmlns:a16="http://schemas.microsoft.com/office/drawing/2014/main" id="{00000000-0008-0000-0200-00000C0C0000}"/>
              </a:ext>
            </a:extLst>
          </xdr:cNvPr>
          <xdr:cNvSpPr txBox="1">
            <a:spLocks noChangeArrowheads="1"/>
          </xdr:cNvSpPr>
        </xdr:nvSpPr>
        <xdr:spPr bwMode="auto">
          <a:xfrm>
            <a:off x="23112869" y="8371816"/>
            <a:ext cx="501649" cy="254989"/>
          </a:xfrm>
          <a:prstGeom prst="rect">
            <a:avLst/>
          </a:prstGeom>
          <a:noFill/>
          <a:ln w="9525">
            <a:noFill/>
            <a:miter lim="800000"/>
            <a:headEnd/>
            <a:tailEnd/>
          </a:ln>
        </xdr:spPr>
        <xdr:txBody>
          <a:bodyPr vertOverflow="clip" wrap="square" lIns="27432" tIns="22860" rIns="0"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800" b="1" i="0" strike="noStrike">
                <a:solidFill>
                  <a:srgbClr val="000000"/>
                </a:solidFill>
                <a:latin typeface="Arial"/>
                <a:cs typeface="Arial"/>
              </a:rPr>
              <a:t>Rock </a:t>
            </a:r>
            <a:endParaRPr lang="en-US" sz="800"/>
          </a:p>
          <a:p>
            <a:pPr algn="ctr" rtl="0">
              <a:defRPr sz="1000"/>
            </a:pPr>
            <a:r>
              <a:rPr lang="en-US" sz="800" b="1" i="0" strike="noStrike">
                <a:solidFill>
                  <a:srgbClr val="000000"/>
                </a:solidFill>
                <a:latin typeface="Arial"/>
                <a:cs typeface="Arial"/>
              </a:rPr>
              <a:t>Toe</a:t>
            </a:r>
          </a:p>
        </xdr:txBody>
      </xdr:sp>
      <xdr:sp macro="" textlink="">
        <xdr:nvSpPr>
          <xdr:cNvPr id="695605" name="Right Triangle 8">
            <a:extLst>
              <a:ext uri="{FF2B5EF4-FFF2-40B4-BE49-F238E27FC236}">
                <a16:creationId xmlns:a16="http://schemas.microsoft.com/office/drawing/2014/main" id="{00000000-0008-0000-0200-0000359D0A00}"/>
              </a:ext>
            </a:extLst>
          </xdr:cNvPr>
          <xdr:cNvSpPr>
            <a:spLocks noChangeArrowheads="1"/>
          </xdr:cNvSpPr>
        </xdr:nvSpPr>
        <xdr:spPr bwMode="auto">
          <a:xfrm rot="7799042">
            <a:off x="22860049" y="8476337"/>
            <a:ext cx="392812" cy="715774"/>
          </a:xfrm>
          <a:prstGeom prst="rtTriangle">
            <a:avLst/>
          </a:prstGeom>
          <a:blipFill dpi="0" rotWithShape="1">
            <a:blip xmlns:r="http://schemas.openxmlformats.org/officeDocument/2006/relationships" r:embed="rId2" cstate="print"/>
            <a:srcRect/>
            <a:tile tx="0" ty="0" sx="100000" sy="100000" flip="none" algn="tl"/>
          </a:blipFill>
          <a:ln w="9525">
            <a:solidFill>
              <a:srgbClr val="000000"/>
            </a:solidFill>
            <a:round/>
            <a:headEnd/>
            <a:tailEnd/>
          </a:ln>
        </xdr:spPr>
      </xdr:sp>
    </xdr:grpSp>
    <xdr:clientData/>
  </xdr:twoCellAnchor>
  <xdr:twoCellAnchor>
    <xdr:from>
      <xdr:col>4</xdr:col>
      <xdr:colOff>546100</xdr:colOff>
      <xdr:row>16</xdr:row>
      <xdr:rowOff>148167</xdr:rowOff>
    </xdr:from>
    <xdr:to>
      <xdr:col>19</xdr:col>
      <xdr:colOff>166159</xdr:colOff>
      <xdr:row>31</xdr:row>
      <xdr:rowOff>107421</xdr:rowOff>
    </xdr:to>
    <xdr:graphicFrame macro="">
      <xdr:nvGraphicFramePr>
        <xdr:cNvPr id="695599" name="Chart 1">
          <a:extLst>
            <a:ext uri="{FF2B5EF4-FFF2-40B4-BE49-F238E27FC236}">
              <a16:creationId xmlns:a16="http://schemas.microsoft.com/office/drawing/2014/main" id="{00000000-0008-0000-0200-00002F9D0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3704</xdr:colOff>
      <xdr:row>0</xdr:row>
      <xdr:rowOff>127001</xdr:rowOff>
    </xdr:from>
    <xdr:to>
      <xdr:col>19</xdr:col>
      <xdr:colOff>160338</xdr:colOff>
      <xdr:row>18</xdr:row>
      <xdr:rowOff>87314</xdr:rowOff>
    </xdr:to>
    <xdr:graphicFrame macro="">
      <xdr:nvGraphicFramePr>
        <xdr:cNvPr id="695600" name="Chart 2">
          <a:extLst>
            <a:ext uri="{FF2B5EF4-FFF2-40B4-BE49-F238E27FC236}">
              <a16:creationId xmlns:a16="http://schemas.microsoft.com/office/drawing/2014/main" id="{00000000-0008-0000-0200-0000309D0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358245</xdr:colOff>
      <xdr:row>35</xdr:row>
      <xdr:rowOff>34397</xdr:rowOff>
    </xdr:from>
    <xdr:to>
      <xdr:col>13</xdr:col>
      <xdr:colOff>547687</xdr:colOff>
      <xdr:row>36</xdr:row>
      <xdr:rowOff>103189</xdr:rowOff>
    </xdr:to>
    <xdr:sp macro="" textlink="">
      <xdr:nvSpPr>
        <xdr:cNvPr id="10" name="Text Box 12">
          <a:extLst>
            <a:ext uri="{FF2B5EF4-FFF2-40B4-BE49-F238E27FC236}">
              <a16:creationId xmlns:a16="http://schemas.microsoft.com/office/drawing/2014/main" id="{00000000-0008-0000-0200-00000A000000}"/>
            </a:ext>
          </a:extLst>
        </xdr:cNvPr>
        <xdr:cNvSpPr txBox="1">
          <a:spLocks noChangeArrowheads="1"/>
        </xdr:cNvSpPr>
      </xdr:nvSpPr>
      <xdr:spPr bwMode="auto">
        <a:xfrm>
          <a:off x="9708620" y="7178147"/>
          <a:ext cx="1364192" cy="22754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Arial"/>
              <a:cs typeface="Arial"/>
            </a:rPr>
            <a:t>Cross</a:t>
          </a:r>
          <a:r>
            <a:rPr lang="en-US" sz="1100" b="1" i="0" strike="noStrike" baseline="0">
              <a:solidFill>
                <a:srgbClr val="000000"/>
              </a:solidFill>
              <a:latin typeface="Arial"/>
              <a:cs typeface="Arial"/>
            </a:rPr>
            <a:t> Section</a:t>
          </a:r>
          <a:endParaRPr lang="en-US" sz="1100" b="1" i="0" strike="noStrike">
            <a:solidFill>
              <a:srgbClr val="000000"/>
            </a:solidFill>
            <a:latin typeface="Arial"/>
            <a:cs typeface="Arial"/>
          </a:endParaRPr>
        </a:p>
      </xdr:txBody>
    </xdr:sp>
    <xdr:clientData/>
  </xdr:twoCellAnchor>
  <xdr:twoCellAnchor>
    <xdr:from>
      <xdr:col>5</xdr:col>
      <xdr:colOff>169333</xdr:colOff>
      <xdr:row>45</xdr:row>
      <xdr:rowOff>76727</xdr:rowOff>
    </xdr:from>
    <xdr:to>
      <xdr:col>9</xdr:col>
      <xdr:colOff>74084</xdr:colOff>
      <xdr:row>63</xdr:row>
      <xdr:rowOff>169333</xdr:rowOff>
    </xdr:to>
    <xdr:grpSp>
      <xdr:nvGrpSpPr>
        <xdr:cNvPr id="35" name="Group 34">
          <a:extLst>
            <a:ext uri="{FF2B5EF4-FFF2-40B4-BE49-F238E27FC236}">
              <a16:creationId xmlns:a16="http://schemas.microsoft.com/office/drawing/2014/main" id="{00000000-0008-0000-0200-000023000000}"/>
            </a:ext>
          </a:extLst>
        </xdr:cNvPr>
        <xdr:cNvGrpSpPr/>
      </xdr:nvGrpSpPr>
      <xdr:grpSpPr>
        <a:xfrm>
          <a:off x="6466416" y="10554227"/>
          <a:ext cx="2275418" cy="4294189"/>
          <a:chOff x="6085417" y="9157229"/>
          <a:chExt cx="2275417" cy="3320523"/>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bwMode="auto">
          <a:xfrm>
            <a:off x="6614583" y="9345084"/>
            <a:ext cx="84667" cy="95250"/>
          </a:xfrm>
          <a:prstGeom prst="rect">
            <a:avLst/>
          </a:prstGeom>
          <a:blipFill>
            <a:blip xmlns:r="http://schemas.openxmlformats.org/officeDocument/2006/relationships" r:embed="rId5" cstate="print"/>
            <a:tile tx="0" ty="0" sx="100000" sy="100000" flip="none" algn="tl"/>
          </a:blip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grpSp>
        <xdr:nvGrpSpPr>
          <xdr:cNvPr id="34" name="Group 33">
            <a:extLst>
              <a:ext uri="{FF2B5EF4-FFF2-40B4-BE49-F238E27FC236}">
                <a16:creationId xmlns:a16="http://schemas.microsoft.com/office/drawing/2014/main" id="{00000000-0008-0000-0200-000022000000}"/>
              </a:ext>
            </a:extLst>
          </xdr:cNvPr>
          <xdr:cNvGrpSpPr/>
        </xdr:nvGrpSpPr>
        <xdr:grpSpPr>
          <a:xfrm>
            <a:off x="6085417" y="9157229"/>
            <a:ext cx="2275417" cy="3320523"/>
            <a:chOff x="6085417" y="9157229"/>
            <a:chExt cx="2275417" cy="3320523"/>
          </a:xfrm>
        </xdr:grpSpPr>
        <xdr:grpSp>
          <xdr:nvGrpSpPr>
            <xdr:cNvPr id="24" name="Group 23">
              <a:extLst>
                <a:ext uri="{FF2B5EF4-FFF2-40B4-BE49-F238E27FC236}">
                  <a16:creationId xmlns:a16="http://schemas.microsoft.com/office/drawing/2014/main" id="{00000000-0008-0000-0200-000018000000}"/>
                </a:ext>
              </a:extLst>
            </xdr:cNvPr>
            <xdr:cNvGrpSpPr/>
          </xdr:nvGrpSpPr>
          <xdr:grpSpPr>
            <a:xfrm>
              <a:off x="6085417" y="9157229"/>
              <a:ext cx="2190749" cy="3320523"/>
              <a:chOff x="5990167" y="9061979"/>
              <a:chExt cx="2190749" cy="3320523"/>
            </a:xfrm>
          </xdr:grpSpPr>
          <xdr:sp macro="" textlink="">
            <xdr:nvSpPr>
              <xdr:cNvPr id="2" name="Oval 1">
                <a:extLst>
                  <a:ext uri="{FF2B5EF4-FFF2-40B4-BE49-F238E27FC236}">
                    <a16:creationId xmlns:a16="http://schemas.microsoft.com/office/drawing/2014/main" id="{00000000-0008-0000-0200-000002000000}"/>
                  </a:ext>
                </a:extLst>
              </xdr:cNvPr>
              <xdr:cNvSpPr/>
            </xdr:nvSpPr>
            <xdr:spPr bwMode="auto">
              <a:xfrm>
                <a:off x="6402917" y="9061979"/>
                <a:ext cx="396875" cy="396875"/>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cxnSp macro="">
            <xdr:nvCxnSpPr>
              <xdr:cNvPr id="4" name="Straight Arrow Connector 3">
                <a:extLst>
                  <a:ext uri="{FF2B5EF4-FFF2-40B4-BE49-F238E27FC236}">
                    <a16:creationId xmlns:a16="http://schemas.microsoft.com/office/drawing/2014/main" id="{00000000-0008-0000-0200-000004000000}"/>
                  </a:ext>
                </a:extLst>
              </xdr:cNvPr>
              <xdr:cNvCxnSpPr>
                <a:stCxn id="2" idx="4"/>
                <a:endCxn id="33" idx="1"/>
              </xdr:cNvCxnSpPr>
            </xdr:nvCxnSpPr>
            <xdr:spPr bwMode="auto">
              <a:xfrm rot="5400000">
                <a:off x="5694444" y="10075405"/>
                <a:ext cx="1523463" cy="29036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12" name="Diagonal Stripe 11">
                <a:extLst>
                  <a:ext uri="{FF2B5EF4-FFF2-40B4-BE49-F238E27FC236}">
                    <a16:creationId xmlns:a16="http://schemas.microsoft.com/office/drawing/2014/main" id="{00000000-0008-0000-0200-00000C000000}"/>
                  </a:ext>
                </a:extLst>
              </xdr:cNvPr>
              <xdr:cNvSpPr/>
            </xdr:nvSpPr>
            <xdr:spPr bwMode="auto">
              <a:xfrm>
                <a:off x="6667499" y="10922001"/>
                <a:ext cx="1333501" cy="603250"/>
              </a:xfrm>
              <a:prstGeom prst="diagStripe">
                <a:avLst/>
              </a:prstGeom>
              <a:blipFill>
                <a:blip xmlns:r="http://schemas.openxmlformats.org/officeDocument/2006/relationships" r:embed="rId5" cstate="print"/>
                <a:tile tx="0" ty="0" sx="100000" sy="100000" flip="none" algn="tl"/>
              </a:blip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sp macro="" textlink="">
            <xdr:nvSpPr>
              <xdr:cNvPr id="13" name="Rectangle 12">
                <a:extLst>
                  <a:ext uri="{FF2B5EF4-FFF2-40B4-BE49-F238E27FC236}">
                    <a16:creationId xmlns:a16="http://schemas.microsoft.com/office/drawing/2014/main" id="{00000000-0008-0000-0200-00000D000000}"/>
                  </a:ext>
                </a:extLst>
              </xdr:cNvPr>
              <xdr:cNvSpPr/>
            </xdr:nvSpPr>
            <xdr:spPr bwMode="auto">
              <a:xfrm>
                <a:off x="6201832" y="11228915"/>
                <a:ext cx="465667" cy="518587"/>
              </a:xfrm>
              <a:prstGeom prst="rect">
                <a:avLst/>
              </a:prstGeom>
              <a:blipFill>
                <a:blip xmlns:r="http://schemas.openxmlformats.org/officeDocument/2006/relationships" r:embed="rId5" cstate="print"/>
                <a:tile tx="0" ty="0" sx="100000" sy="100000" flip="none" algn="tl"/>
              </a:blip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sp macro="" textlink="">
            <xdr:nvSpPr>
              <xdr:cNvPr id="33" name="Oval 32">
                <a:extLst>
                  <a:ext uri="{FF2B5EF4-FFF2-40B4-BE49-F238E27FC236}">
                    <a16:creationId xmlns:a16="http://schemas.microsoft.com/office/drawing/2014/main" id="{00000000-0008-0000-0200-000021000000}"/>
                  </a:ext>
                </a:extLst>
              </xdr:cNvPr>
              <xdr:cNvSpPr/>
            </xdr:nvSpPr>
            <xdr:spPr bwMode="auto">
              <a:xfrm>
                <a:off x="5990167" y="10742084"/>
                <a:ext cx="2190749" cy="1640418"/>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grpSp>
        <xdr:cxnSp macro="">
          <xdr:nvCxnSpPr>
            <xdr:cNvPr id="39" name="Straight Arrow Connector 38">
              <a:extLst>
                <a:ext uri="{FF2B5EF4-FFF2-40B4-BE49-F238E27FC236}">
                  <a16:creationId xmlns:a16="http://schemas.microsoft.com/office/drawing/2014/main" id="{00000000-0008-0000-0200-000027000000}"/>
                </a:ext>
              </a:extLst>
            </xdr:cNvPr>
            <xdr:cNvCxnSpPr/>
          </xdr:nvCxnSpPr>
          <xdr:spPr bwMode="auto">
            <a:xfrm rot="10800000">
              <a:off x="7831668" y="11117181"/>
              <a:ext cx="529166" cy="7998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xnSp macro="">
          <xdr:nvCxnSpPr>
            <xdr:cNvPr id="42" name="Straight Arrow Connector 41">
              <a:extLst>
                <a:ext uri="{FF2B5EF4-FFF2-40B4-BE49-F238E27FC236}">
                  <a16:creationId xmlns:a16="http://schemas.microsoft.com/office/drawing/2014/main" id="{00000000-0008-0000-0200-00002A000000}"/>
                </a:ext>
              </a:extLst>
            </xdr:cNvPr>
            <xdr:cNvCxnSpPr/>
          </xdr:nvCxnSpPr>
          <xdr:spPr bwMode="auto">
            <a:xfrm rot="10800000">
              <a:off x="6762752" y="11811001"/>
              <a:ext cx="328083" cy="10583"/>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grpSp>
    <xdr:clientData/>
  </xdr:twoCellAnchor>
  <xdr:twoCellAnchor>
    <xdr:from>
      <xdr:col>6</xdr:col>
      <xdr:colOff>254001</xdr:colOff>
      <xdr:row>57</xdr:row>
      <xdr:rowOff>52916</xdr:rowOff>
    </xdr:from>
    <xdr:to>
      <xdr:col>8</xdr:col>
      <xdr:colOff>370417</xdr:colOff>
      <xdr:row>61</xdr:row>
      <xdr:rowOff>68791</xdr:rowOff>
    </xdr:to>
    <xdr:cxnSp macro="">
      <xdr:nvCxnSpPr>
        <xdr:cNvPr id="28" name="Straight Connector 27">
          <a:extLst>
            <a:ext uri="{FF2B5EF4-FFF2-40B4-BE49-F238E27FC236}">
              <a16:creationId xmlns:a16="http://schemas.microsoft.com/office/drawing/2014/main" id="{00000000-0008-0000-0200-00001C000000}"/>
            </a:ext>
          </a:extLst>
        </xdr:cNvPr>
        <xdr:cNvCxnSpPr/>
      </xdr:nvCxnSpPr>
      <xdr:spPr bwMode="auto">
        <a:xfrm flipV="1">
          <a:off x="7143751" y="13059833"/>
          <a:ext cx="1301749" cy="77787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16</xdr:col>
      <xdr:colOff>21170</xdr:colOff>
      <xdr:row>47</xdr:row>
      <xdr:rowOff>31750</xdr:rowOff>
    </xdr:from>
    <xdr:to>
      <xdr:col>17</xdr:col>
      <xdr:colOff>412750</xdr:colOff>
      <xdr:row>47</xdr:row>
      <xdr:rowOff>77469</xdr:rowOff>
    </xdr:to>
    <xdr:sp macro="" textlink="">
      <xdr:nvSpPr>
        <xdr:cNvPr id="26" name="Rectangle 25">
          <a:extLst>
            <a:ext uri="{FF2B5EF4-FFF2-40B4-BE49-F238E27FC236}">
              <a16:creationId xmlns:a16="http://schemas.microsoft.com/office/drawing/2014/main" id="{00000000-0008-0000-0200-00001A000000}"/>
            </a:ext>
          </a:extLst>
        </xdr:cNvPr>
        <xdr:cNvSpPr/>
      </xdr:nvSpPr>
      <xdr:spPr bwMode="auto">
        <a:xfrm>
          <a:off x="13006920" y="10900833"/>
          <a:ext cx="984247" cy="4571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16</xdr:col>
      <xdr:colOff>238959</xdr:colOff>
      <xdr:row>44</xdr:row>
      <xdr:rowOff>101648</xdr:rowOff>
    </xdr:from>
    <xdr:to>
      <xdr:col>16</xdr:col>
      <xdr:colOff>311372</xdr:colOff>
      <xdr:row>47</xdr:row>
      <xdr:rowOff>120600</xdr:rowOff>
    </xdr:to>
    <xdr:sp macro="" textlink="">
      <xdr:nvSpPr>
        <xdr:cNvPr id="27" name="Rectangle 26">
          <a:extLst>
            <a:ext uri="{FF2B5EF4-FFF2-40B4-BE49-F238E27FC236}">
              <a16:creationId xmlns:a16="http://schemas.microsoft.com/office/drawing/2014/main" id="{00000000-0008-0000-0200-00001B000000}"/>
            </a:ext>
          </a:extLst>
        </xdr:cNvPr>
        <xdr:cNvSpPr/>
      </xdr:nvSpPr>
      <xdr:spPr bwMode="auto">
        <a:xfrm rot="18800355" flipV="1">
          <a:off x="12960398" y="10652959"/>
          <a:ext cx="601035" cy="724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17</xdr:col>
      <xdr:colOff>386292</xdr:colOff>
      <xdr:row>45</xdr:row>
      <xdr:rowOff>105838</xdr:rowOff>
    </xdr:from>
    <xdr:to>
      <xdr:col>19</xdr:col>
      <xdr:colOff>116417</xdr:colOff>
      <xdr:row>46</xdr:row>
      <xdr:rowOff>84672</xdr:rowOff>
    </xdr:to>
    <xdr:sp macro="" textlink="">
      <xdr:nvSpPr>
        <xdr:cNvPr id="29" name="Text Box 12">
          <a:extLst>
            <a:ext uri="{FF2B5EF4-FFF2-40B4-BE49-F238E27FC236}">
              <a16:creationId xmlns:a16="http://schemas.microsoft.com/office/drawing/2014/main" id="{00000000-0008-0000-0200-00001D000000}"/>
            </a:ext>
          </a:extLst>
        </xdr:cNvPr>
        <xdr:cNvSpPr txBox="1">
          <a:spLocks noChangeArrowheads="1"/>
        </xdr:cNvSpPr>
      </xdr:nvSpPr>
      <xdr:spPr bwMode="auto">
        <a:xfrm>
          <a:off x="13594292" y="9101671"/>
          <a:ext cx="915458" cy="13758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sz="800"/>
        </a:p>
      </xdr:txBody>
    </xdr:sp>
    <xdr:clientData/>
  </xdr:twoCellAnchor>
  <xdr:twoCellAnchor>
    <xdr:from>
      <xdr:col>17</xdr:col>
      <xdr:colOff>68793</xdr:colOff>
      <xdr:row>45</xdr:row>
      <xdr:rowOff>10587</xdr:rowOff>
    </xdr:from>
    <xdr:to>
      <xdr:col>17</xdr:col>
      <xdr:colOff>303045</xdr:colOff>
      <xdr:row>45</xdr:row>
      <xdr:rowOff>57597</xdr:rowOff>
    </xdr:to>
    <xdr:cxnSp macro="">
      <xdr:nvCxnSpPr>
        <xdr:cNvPr id="30" name="Straight Arrow Connector 29">
          <a:extLst>
            <a:ext uri="{FF2B5EF4-FFF2-40B4-BE49-F238E27FC236}">
              <a16:creationId xmlns:a16="http://schemas.microsoft.com/office/drawing/2014/main" id="{00000000-0008-0000-0200-00001E000000}"/>
            </a:ext>
          </a:extLst>
        </xdr:cNvPr>
        <xdr:cNvCxnSpPr>
          <a:stCxn id="3084" idx="2"/>
        </xdr:cNvCxnSpPr>
      </xdr:nvCxnSpPr>
      <xdr:spPr bwMode="auto">
        <a:xfrm rot="5400000">
          <a:off x="13370414" y="8912799"/>
          <a:ext cx="47010" cy="234252"/>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0.25135</cdr:x>
      <cdr:y>0.79861</cdr:y>
    </cdr:from>
    <cdr:to>
      <cdr:x>0.37536</cdr:x>
      <cdr:y>0.9184</cdr:y>
    </cdr:to>
    <cdr:pic>
      <cdr:nvPicPr>
        <cdr:cNvPr id="2" name="chart">
          <a:extLst xmlns:a="http://schemas.openxmlformats.org/drawingml/2006/main">
            <a:ext uri="{FF2B5EF4-FFF2-40B4-BE49-F238E27FC236}">
              <a16:creationId xmlns:a16="http://schemas.microsoft.com/office/drawing/2014/main" id="{AA3042E5-BA89-4418-808E-D41992017A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04430" y="2190749"/>
          <a:ext cx="1038276" cy="328613"/>
        </a:xfrm>
        <a:prstGeom xmlns:a="http://schemas.openxmlformats.org/drawingml/2006/main" prst="rect">
          <a:avLst/>
        </a:prstGeom>
      </cdr:spPr>
    </cdr:pic>
  </cdr:relSizeAnchor>
  <cdr:relSizeAnchor xmlns:cdr="http://schemas.openxmlformats.org/drawingml/2006/chartDrawing">
    <cdr:from>
      <cdr:x>0.00761</cdr:x>
      <cdr:y>0.35719</cdr:y>
    </cdr:from>
    <cdr:to>
      <cdr:x>0.04394</cdr:x>
      <cdr:y>0.63774</cdr:y>
    </cdr:to>
    <cdr:pic>
      <cdr:nvPicPr>
        <cdr:cNvPr id="674818" name="chart">
          <a:extLst xmlns:a="http://schemas.openxmlformats.org/drawingml/2006/main">
            <a:ext uri="{FF2B5EF4-FFF2-40B4-BE49-F238E27FC236}">
              <a16:creationId xmlns:a16="http://schemas.microsoft.com/office/drawing/2014/main" id="{84FFA740-80C7-4F8B-BC72-42156D133F9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67526" y="972820"/>
          <a:ext cx="307338" cy="76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xml><?xml version="1.0" encoding="utf-8"?>
<c:userShapes xmlns:c="http://schemas.openxmlformats.org/drawingml/2006/chart">
  <cdr:relSizeAnchor xmlns:cdr="http://schemas.openxmlformats.org/drawingml/2006/chartDrawing">
    <cdr:from>
      <cdr:x>0.24448</cdr:x>
      <cdr:y>0.85069</cdr:y>
    </cdr:from>
    <cdr:to>
      <cdr:x>0.33214</cdr:x>
      <cdr:y>0.92848</cdr:y>
    </cdr:to>
    <cdr:pic>
      <cdr:nvPicPr>
        <cdr:cNvPr id="4" name="chart">
          <a:extLst xmlns:a="http://schemas.openxmlformats.org/drawingml/2006/main">
            <a:ext uri="{FF2B5EF4-FFF2-40B4-BE49-F238E27FC236}">
              <a16:creationId xmlns:a16="http://schemas.microsoft.com/office/drawing/2014/main" id="{BCCF3FA5-C2F2-4610-9AA1-D3276FBC0C4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81150" y="2333625"/>
          <a:ext cx="566977" cy="213378"/>
        </a:xfrm>
        <a:prstGeom xmlns:a="http://schemas.openxmlformats.org/drawingml/2006/main" prst="rect">
          <a:avLst/>
        </a:prstGeom>
      </cdr:spPr>
    </cdr:pic>
  </cdr:relSizeAnchor>
  <cdr:relSizeAnchor xmlns:cdr="http://schemas.openxmlformats.org/drawingml/2006/chartDrawing">
    <cdr:from>
      <cdr:x>0</cdr:x>
      <cdr:y>0.44444</cdr:y>
    </cdr:from>
    <cdr:to>
      <cdr:x>0.09521</cdr:x>
      <cdr:y>0.52223</cdr:y>
    </cdr:to>
    <cdr:pic>
      <cdr:nvPicPr>
        <cdr:cNvPr id="5" name="chart">
          <a:extLst xmlns:a="http://schemas.openxmlformats.org/drawingml/2006/main">
            <a:ext uri="{FF2B5EF4-FFF2-40B4-BE49-F238E27FC236}">
              <a16:creationId xmlns:a16="http://schemas.microsoft.com/office/drawing/2014/main" id="{356901C0-948F-4FA1-BA43-3FAAF0CAC1C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0" y="1219200"/>
          <a:ext cx="615749" cy="213378"/>
        </a:xfrm>
        <a:prstGeom xmlns:a="http://schemas.openxmlformats.org/drawingml/2006/main" prst="rect">
          <a:avLst/>
        </a:prstGeom>
      </cdr:spPr>
    </cdr:pic>
  </cdr:relSizeAnchor>
  <cdr:relSizeAnchor xmlns:cdr="http://schemas.openxmlformats.org/drawingml/2006/chartDrawing">
    <cdr:from>
      <cdr:x>0.40353</cdr:x>
      <cdr:y>0.23438</cdr:y>
    </cdr:from>
    <cdr:to>
      <cdr:x>0.91016</cdr:x>
      <cdr:y>0.36285</cdr:y>
    </cdr:to>
    <cdr:sp macro="" textlink="">
      <cdr:nvSpPr>
        <cdr:cNvPr id="6" name="TextBox 5"/>
        <cdr:cNvSpPr txBox="1"/>
      </cdr:nvSpPr>
      <cdr:spPr>
        <a:xfrm xmlns:a="http://schemas.openxmlformats.org/drawingml/2006/main">
          <a:off x="2609849" y="642938"/>
          <a:ext cx="32766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50">
              <a:solidFill>
                <a:srgbClr val="FF0000"/>
              </a:solidFill>
            </a:rPr>
            <a:t>                                   </a:t>
          </a:r>
          <a:r>
            <a:rPr lang="en-US" sz="1100">
              <a:effectLst/>
              <a:latin typeface="+mn-lt"/>
              <a:ea typeface="+mn-ea"/>
              <a:cs typeface="+mn-cs"/>
            </a:rPr>
            <a:t>Depth of flow over weir</a:t>
          </a:r>
          <a:r>
            <a:rPr lang="en-US" sz="1050">
              <a:solidFill>
                <a:srgbClr val="FF0000"/>
              </a:solidFill>
            </a:rPr>
            <a:t>                  </a:t>
          </a:r>
          <a:r>
            <a:rPr lang="en-US" sz="1050">
              <a:solidFill>
                <a:schemeClr val="tx2">
                  <a:lumMod val="50000"/>
                </a:schemeClr>
              </a:solidFill>
            </a:rPr>
            <a:t>waste weir</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20</xdr:col>
      <xdr:colOff>0</xdr:colOff>
      <xdr:row>68</xdr:row>
      <xdr:rowOff>0</xdr:rowOff>
    </xdr:from>
    <xdr:to>
      <xdr:col>20</xdr:col>
      <xdr:colOff>76200</xdr:colOff>
      <xdr:row>68</xdr:row>
      <xdr:rowOff>25400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5297150" y="15344775"/>
          <a:ext cx="76200" cy="25400"/>
        </a:xfrm>
        <a:prstGeom prst="rect">
          <a:avLst/>
        </a:prstGeom>
        <a:noFill/>
        <a:ln w="9525">
          <a:noFill/>
          <a:miter lim="800000"/>
          <a:headEnd/>
          <a:tailEnd/>
        </a:ln>
      </xdr:spPr>
    </xdr:sp>
    <xdr:clientData/>
  </xdr:twoCellAnchor>
  <xdr:twoCellAnchor>
    <xdr:from>
      <xdr:col>5</xdr:col>
      <xdr:colOff>58208</xdr:colOff>
      <xdr:row>31</xdr:row>
      <xdr:rowOff>95255</xdr:rowOff>
    </xdr:from>
    <xdr:to>
      <xdr:col>19</xdr:col>
      <xdr:colOff>228601</xdr:colOff>
      <xdr:row>54</xdr:row>
      <xdr:rowOff>157696</xdr:rowOff>
    </xdr:to>
    <xdr:grpSp>
      <xdr:nvGrpSpPr>
        <xdr:cNvPr id="3" name="Group 8">
          <a:extLst>
            <a:ext uri="{FF2B5EF4-FFF2-40B4-BE49-F238E27FC236}">
              <a16:creationId xmlns:a16="http://schemas.microsoft.com/office/drawing/2014/main" id="{00000000-0008-0000-0600-000003000000}"/>
            </a:ext>
          </a:extLst>
        </xdr:cNvPr>
        <xdr:cNvGrpSpPr>
          <a:grpSpLocks/>
        </xdr:cNvGrpSpPr>
      </xdr:nvGrpSpPr>
      <xdr:grpSpPr bwMode="auto">
        <a:xfrm>
          <a:off x="6831541" y="7228422"/>
          <a:ext cx="8573560" cy="4803774"/>
          <a:chOff x="16043178" y="6745165"/>
          <a:chExt cx="8401050" cy="3190875"/>
        </a:xfrm>
      </xdr:grpSpPr>
      <xdr:graphicFrame macro="">
        <xdr:nvGraphicFramePr>
          <xdr:cNvPr id="4" name="Chart 8">
            <a:extLst>
              <a:ext uri="{FF2B5EF4-FFF2-40B4-BE49-F238E27FC236}">
                <a16:creationId xmlns:a16="http://schemas.microsoft.com/office/drawing/2014/main" id="{00000000-0008-0000-0600-000004000000}"/>
              </a:ext>
            </a:extLst>
          </xdr:cNvPr>
          <xdr:cNvGraphicFramePr>
            <a:graphicFrameLocks/>
          </xdr:cNvGraphicFramePr>
        </xdr:nvGraphicFramePr>
        <xdr:xfrm>
          <a:off x="16043178" y="6745165"/>
          <a:ext cx="8401050" cy="31908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Text Box 9">
            <a:extLst>
              <a:ext uri="{FF2B5EF4-FFF2-40B4-BE49-F238E27FC236}">
                <a16:creationId xmlns:a16="http://schemas.microsoft.com/office/drawing/2014/main" id="{00000000-0008-0000-0600-000005000000}"/>
              </a:ext>
            </a:extLst>
          </xdr:cNvPr>
          <xdr:cNvSpPr txBox="1">
            <a:spLocks noChangeArrowheads="1"/>
          </xdr:cNvSpPr>
        </xdr:nvSpPr>
        <xdr:spPr bwMode="auto">
          <a:xfrm>
            <a:off x="17754715" y="7699901"/>
            <a:ext cx="4923036" cy="983291"/>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HFL</a:t>
            </a:r>
          </a:p>
          <a:p>
            <a:pPr algn="l" rtl="0">
              <a:defRPr sz="1000"/>
            </a:pPr>
            <a:endParaRPr lang="en-US" sz="800" b="1" i="0" strike="noStrike">
              <a:solidFill>
                <a:srgbClr val="000000"/>
              </a:solidFill>
              <a:latin typeface="Arial"/>
              <a:cs typeface="Arial"/>
            </a:endParaRPr>
          </a:p>
          <a:p>
            <a:pPr algn="l" rtl="0">
              <a:defRPr sz="1000"/>
            </a:pPr>
            <a:r>
              <a:rPr lang="en-US" sz="800" b="1" i="0" strike="noStrike">
                <a:solidFill>
                  <a:srgbClr val="000000"/>
                </a:solidFill>
                <a:latin typeface="Arial"/>
                <a:cs typeface="Arial"/>
              </a:rPr>
              <a:t>FRL    </a:t>
            </a:r>
          </a:p>
          <a:p>
            <a:pPr algn="l" rtl="0">
              <a:defRPr sz="1000"/>
            </a:pPr>
            <a:r>
              <a:rPr lang="en-US" sz="800" b="1" i="0" strike="noStrike">
                <a:solidFill>
                  <a:srgbClr val="000000"/>
                </a:solidFill>
                <a:latin typeface="Arial"/>
                <a:cs typeface="Arial"/>
              </a:rPr>
              <a:t>               U/S</a:t>
            </a:r>
            <a:r>
              <a:rPr lang="en-US" sz="800" b="1" i="0" strike="noStrike" baseline="0">
                <a:solidFill>
                  <a:srgbClr val="000000"/>
                </a:solidFill>
                <a:latin typeface="Arial"/>
                <a:cs typeface="Arial"/>
              </a:rPr>
              <a:t> 3:1</a:t>
            </a:r>
            <a:r>
              <a:rPr lang="en-US" sz="800" b="1" i="0" strike="noStrike">
                <a:solidFill>
                  <a:srgbClr val="000000"/>
                </a:solidFill>
                <a:latin typeface="Arial"/>
                <a:cs typeface="Arial"/>
              </a:rPr>
              <a:t>                                                                     Core wall	                                   D/S 2:1</a:t>
            </a:r>
          </a:p>
          <a:p>
            <a:pPr algn="l" rtl="0">
              <a:defRPr sz="1000"/>
            </a:pPr>
            <a:r>
              <a:rPr lang="en-US" sz="800" b="1" i="0" strike="noStrike">
                <a:solidFill>
                  <a:srgbClr val="000000"/>
                </a:solidFill>
                <a:latin typeface="Arial"/>
                <a:cs typeface="Arial"/>
              </a:rPr>
              <a:t>                     </a:t>
            </a:r>
          </a:p>
          <a:p>
            <a:pPr algn="l" rtl="0">
              <a:defRPr sz="1000"/>
            </a:pPr>
            <a:endParaRPr lang="en-US" sz="800" b="1"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600-000006000000}"/>
              </a:ext>
            </a:extLst>
          </xdr:cNvPr>
          <xdr:cNvSpPr txBox="1">
            <a:spLocks noChangeArrowheads="1"/>
          </xdr:cNvSpPr>
        </xdr:nvSpPr>
        <xdr:spPr bwMode="auto">
          <a:xfrm>
            <a:off x="23112869" y="8371816"/>
            <a:ext cx="501649" cy="254989"/>
          </a:xfrm>
          <a:prstGeom prst="rect">
            <a:avLst/>
          </a:prstGeom>
          <a:noFill/>
          <a:ln w="9525">
            <a:noFill/>
            <a:miter lim="800000"/>
            <a:headEnd/>
            <a:tailEnd/>
          </a:ln>
        </xdr:spPr>
        <xdr:txBody>
          <a:bodyPr vertOverflow="clip" wrap="square" lIns="27432" tIns="22860" rIns="0"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800" b="1" i="0" strike="noStrike">
                <a:solidFill>
                  <a:srgbClr val="000000"/>
                </a:solidFill>
                <a:latin typeface="Arial"/>
                <a:cs typeface="Arial"/>
              </a:rPr>
              <a:t>Rock </a:t>
            </a:r>
            <a:endParaRPr lang="en-US" sz="800"/>
          </a:p>
          <a:p>
            <a:pPr algn="ctr" rtl="0">
              <a:defRPr sz="1000"/>
            </a:pPr>
            <a:r>
              <a:rPr lang="en-US" sz="800" b="1" i="0" strike="noStrike">
                <a:solidFill>
                  <a:srgbClr val="000000"/>
                </a:solidFill>
                <a:latin typeface="Arial"/>
                <a:cs typeface="Arial"/>
              </a:rPr>
              <a:t>Toe</a:t>
            </a:r>
          </a:p>
        </xdr:txBody>
      </xdr:sp>
      <xdr:sp macro="" textlink="">
        <xdr:nvSpPr>
          <xdr:cNvPr id="7" name="Right Triangle 8">
            <a:extLst>
              <a:ext uri="{FF2B5EF4-FFF2-40B4-BE49-F238E27FC236}">
                <a16:creationId xmlns:a16="http://schemas.microsoft.com/office/drawing/2014/main" id="{00000000-0008-0000-0600-000007000000}"/>
              </a:ext>
            </a:extLst>
          </xdr:cNvPr>
          <xdr:cNvSpPr>
            <a:spLocks noChangeArrowheads="1"/>
          </xdr:cNvSpPr>
        </xdr:nvSpPr>
        <xdr:spPr bwMode="auto">
          <a:xfrm rot="7440155">
            <a:off x="22860049" y="8476337"/>
            <a:ext cx="392812" cy="715774"/>
          </a:xfrm>
          <a:prstGeom prst="rtTriangle">
            <a:avLst/>
          </a:prstGeom>
          <a:blipFill dpi="0" rotWithShape="1">
            <a:blip xmlns:r="http://schemas.openxmlformats.org/officeDocument/2006/relationships" r:embed="rId2" cstate="print"/>
            <a:srcRect/>
            <a:tile tx="0" ty="0" sx="100000" sy="100000" flip="none" algn="tl"/>
          </a:blipFill>
          <a:ln w="9525">
            <a:solidFill>
              <a:srgbClr val="000000"/>
            </a:solidFill>
            <a:round/>
            <a:headEnd/>
            <a:tailEnd/>
          </a:ln>
        </xdr:spPr>
      </xdr:sp>
    </xdr:grpSp>
    <xdr:clientData/>
  </xdr:twoCellAnchor>
  <xdr:twoCellAnchor>
    <xdr:from>
      <xdr:col>4</xdr:col>
      <xdr:colOff>546100</xdr:colOff>
      <xdr:row>16</xdr:row>
      <xdr:rowOff>148167</xdr:rowOff>
    </xdr:from>
    <xdr:to>
      <xdr:col>19</xdr:col>
      <xdr:colOff>166159</xdr:colOff>
      <xdr:row>31</xdr:row>
      <xdr:rowOff>107421</xdr:rowOff>
    </xdr:to>
    <xdr:graphicFrame macro="">
      <xdr:nvGraphicFramePr>
        <xdr:cNvPr id="8" name="Chart 1">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3704</xdr:colOff>
      <xdr:row>0</xdr:row>
      <xdr:rowOff>127001</xdr:rowOff>
    </xdr:from>
    <xdr:to>
      <xdr:col>19</xdr:col>
      <xdr:colOff>160338</xdr:colOff>
      <xdr:row>18</xdr:row>
      <xdr:rowOff>87314</xdr:rowOff>
    </xdr:to>
    <xdr:graphicFrame macro="">
      <xdr:nvGraphicFramePr>
        <xdr:cNvPr id="9" name="Chart 2">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358245</xdr:colOff>
      <xdr:row>35</xdr:row>
      <xdr:rowOff>34397</xdr:rowOff>
    </xdr:from>
    <xdr:to>
      <xdr:col>13</xdr:col>
      <xdr:colOff>547687</xdr:colOff>
      <xdr:row>36</xdr:row>
      <xdr:rowOff>103189</xdr:rowOff>
    </xdr:to>
    <xdr:sp macro="" textlink="">
      <xdr:nvSpPr>
        <xdr:cNvPr id="10" name="Text Box 12">
          <a:extLst>
            <a:ext uri="{FF2B5EF4-FFF2-40B4-BE49-F238E27FC236}">
              <a16:creationId xmlns:a16="http://schemas.microsoft.com/office/drawing/2014/main" id="{00000000-0008-0000-0600-00000A000000}"/>
            </a:ext>
          </a:extLst>
        </xdr:cNvPr>
        <xdr:cNvSpPr txBox="1">
          <a:spLocks noChangeArrowheads="1"/>
        </xdr:cNvSpPr>
      </xdr:nvSpPr>
      <xdr:spPr bwMode="auto">
        <a:xfrm>
          <a:off x="10168995" y="8483072"/>
          <a:ext cx="1370542" cy="25929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Arial"/>
              <a:cs typeface="Arial"/>
            </a:rPr>
            <a:t>Cross</a:t>
          </a:r>
          <a:r>
            <a:rPr lang="en-US" sz="1100" b="1" i="0" strike="noStrike" baseline="0">
              <a:solidFill>
                <a:srgbClr val="000000"/>
              </a:solidFill>
              <a:latin typeface="Arial"/>
              <a:cs typeface="Arial"/>
            </a:rPr>
            <a:t> Section</a:t>
          </a:r>
          <a:endParaRPr lang="en-US" sz="1100" b="1" i="0" strike="noStrike">
            <a:solidFill>
              <a:srgbClr val="000000"/>
            </a:solidFill>
            <a:latin typeface="Arial"/>
            <a:cs typeface="Arial"/>
          </a:endParaRPr>
        </a:p>
      </xdr:txBody>
    </xdr:sp>
    <xdr:clientData/>
  </xdr:twoCellAnchor>
  <xdr:twoCellAnchor>
    <xdr:from>
      <xdr:col>5</xdr:col>
      <xdr:colOff>169333</xdr:colOff>
      <xdr:row>45</xdr:row>
      <xdr:rowOff>76727</xdr:rowOff>
    </xdr:from>
    <xdr:to>
      <xdr:col>9</xdr:col>
      <xdr:colOff>74084</xdr:colOff>
      <xdr:row>63</xdr:row>
      <xdr:rowOff>169333</xdr:rowOff>
    </xdr:to>
    <xdr:grpSp>
      <xdr:nvGrpSpPr>
        <xdr:cNvPr id="11" name="Group 10">
          <a:extLst>
            <a:ext uri="{FF2B5EF4-FFF2-40B4-BE49-F238E27FC236}">
              <a16:creationId xmlns:a16="http://schemas.microsoft.com/office/drawing/2014/main" id="{00000000-0008-0000-0600-00000B000000}"/>
            </a:ext>
          </a:extLst>
        </xdr:cNvPr>
        <xdr:cNvGrpSpPr/>
      </xdr:nvGrpSpPr>
      <xdr:grpSpPr>
        <a:xfrm>
          <a:off x="6942666" y="9961560"/>
          <a:ext cx="2275418" cy="3850748"/>
          <a:chOff x="6085417" y="9157229"/>
          <a:chExt cx="2275417" cy="3320523"/>
        </a:xfrm>
      </xdr:grpSpPr>
      <xdr:sp macro="" textlink="">
        <xdr:nvSpPr>
          <xdr:cNvPr id="12" name="Rectangle 11">
            <a:extLst>
              <a:ext uri="{FF2B5EF4-FFF2-40B4-BE49-F238E27FC236}">
                <a16:creationId xmlns:a16="http://schemas.microsoft.com/office/drawing/2014/main" id="{00000000-0008-0000-0600-00000C000000}"/>
              </a:ext>
            </a:extLst>
          </xdr:cNvPr>
          <xdr:cNvSpPr/>
        </xdr:nvSpPr>
        <xdr:spPr bwMode="auto">
          <a:xfrm>
            <a:off x="6614583" y="9345084"/>
            <a:ext cx="84667" cy="95250"/>
          </a:xfrm>
          <a:prstGeom prst="rect">
            <a:avLst/>
          </a:prstGeom>
          <a:blipFill>
            <a:blip xmlns:r="http://schemas.openxmlformats.org/officeDocument/2006/relationships" r:embed="rId5" cstate="print"/>
            <a:tile tx="0" ty="0" sx="100000" sy="100000" flip="none" algn="tl"/>
          </a:blip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grpSp>
        <xdr:nvGrpSpPr>
          <xdr:cNvPr id="13" name="Group 33">
            <a:extLst>
              <a:ext uri="{FF2B5EF4-FFF2-40B4-BE49-F238E27FC236}">
                <a16:creationId xmlns:a16="http://schemas.microsoft.com/office/drawing/2014/main" id="{00000000-0008-0000-0600-00000D000000}"/>
              </a:ext>
            </a:extLst>
          </xdr:cNvPr>
          <xdr:cNvGrpSpPr/>
        </xdr:nvGrpSpPr>
        <xdr:grpSpPr>
          <a:xfrm>
            <a:off x="6085417" y="9157229"/>
            <a:ext cx="2275417" cy="3320523"/>
            <a:chOff x="6085417" y="9157229"/>
            <a:chExt cx="2275417" cy="3320523"/>
          </a:xfrm>
        </xdr:grpSpPr>
        <xdr:grpSp>
          <xdr:nvGrpSpPr>
            <xdr:cNvPr id="14" name="Group 23">
              <a:extLst>
                <a:ext uri="{FF2B5EF4-FFF2-40B4-BE49-F238E27FC236}">
                  <a16:creationId xmlns:a16="http://schemas.microsoft.com/office/drawing/2014/main" id="{00000000-0008-0000-0600-00000E000000}"/>
                </a:ext>
              </a:extLst>
            </xdr:cNvPr>
            <xdr:cNvGrpSpPr/>
          </xdr:nvGrpSpPr>
          <xdr:grpSpPr>
            <a:xfrm>
              <a:off x="6085417" y="9157229"/>
              <a:ext cx="2190749" cy="3320523"/>
              <a:chOff x="5990167" y="9061979"/>
              <a:chExt cx="2190749" cy="3320523"/>
            </a:xfrm>
          </xdr:grpSpPr>
          <xdr:sp macro="" textlink="">
            <xdr:nvSpPr>
              <xdr:cNvPr id="17" name="Oval 16">
                <a:extLst>
                  <a:ext uri="{FF2B5EF4-FFF2-40B4-BE49-F238E27FC236}">
                    <a16:creationId xmlns:a16="http://schemas.microsoft.com/office/drawing/2014/main" id="{00000000-0008-0000-0600-000011000000}"/>
                  </a:ext>
                </a:extLst>
              </xdr:cNvPr>
              <xdr:cNvSpPr/>
            </xdr:nvSpPr>
            <xdr:spPr bwMode="auto">
              <a:xfrm>
                <a:off x="6402917" y="9061979"/>
                <a:ext cx="396875" cy="396875"/>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cxnSp macro="">
            <xdr:nvCxnSpPr>
              <xdr:cNvPr id="18" name="Straight Arrow Connector 17">
                <a:extLst>
                  <a:ext uri="{FF2B5EF4-FFF2-40B4-BE49-F238E27FC236}">
                    <a16:creationId xmlns:a16="http://schemas.microsoft.com/office/drawing/2014/main" id="{00000000-0008-0000-0600-000012000000}"/>
                  </a:ext>
                </a:extLst>
              </xdr:cNvPr>
              <xdr:cNvCxnSpPr>
                <a:stCxn id="17" idx="4"/>
                <a:endCxn id="21" idx="1"/>
              </xdr:cNvCxnSpPr>
            </xdr:nvCxnSpPr>
            <xdr:spPr bwMode="auto">
              <a:xfrm rot="5400000">
                <a:off x="5694444" y="10075405"/>
                <a:ext cx="1523463" cy="29036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19" name="Diagonal Stripe 18">
                <a:extLst>
                  <a:ext uri="{FF2B5EF4-FFF2-40B4-BE49-F238E27FC236}">
                    <a16:creationId xmlns:a16="http://schemas.microsoft.com/office/drawing/2014/main" id="{00000000-0008-0000-0600-000013000000}"/>
                  </a:ext>
                </a:extLst>
              </xdr:cNvPr>
              <xdr:cNvSpPr/>
            </xdr:nvSpPr>
            <xdr:spPr bwMode="auto">
              <a:xfrm>
                <a:off x="6667499" y="10922001"/>
                <a:ext cx="1333501" cy="603250"/>
              </a:xfrm>
              <a:prstGeom prst="diagStripe">
                <a:avLst/>
              </a:prstGeom>
              <a:blipFill>
                <a:blip xmlns:r="http://schemas.openxmlformats.org/officeDocument/2006/relationships" r:embed="rId5" cstate="print"/>
                <a:tile tx="0" ty="0" sx="100000" sy="100000" flip="none" algn="tl"/>
              </a:blip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sp macro="" textlink="">
            <xdr:nvSpPr>
              <xdr:cNvPr id="20" name="Rectangle 12">
                <a:extLst>
                  <a:ext uri="{FF2B5EF4-FFF2-40B4-BE49-F238E27FC236}">
                    <a16:creationId xmlns:a16="http://schemas.microsoft.com/office/drawing/2014/main" id="{00000000-0008-0000-0600-000014000000}"/>
                  </a:ext>
                </a:extLst>
              </xdr:cNvPr>
              <xdr:cNvSpPr/>
            </xdr:nvSpPr>
            <xdr:spPr bwMode="auto">
              <a:xfrm>
                <a:off x="6201832" y="11228915"/>
                <a:ext cx="465667" cy="518587"/>
              </a:xfrm>
              <a:prstGeom prst="rect">
                <a:avLst/>
              </a:prstGeom>
              <a:blipFill>
                <a:blip xmlns:r="http://schemas.openxmlformats.org/officeDocument/2006/relationships" r:embed="rId5" cstate="print"/>
                <a:tile tx="0" ty="0" sx="100000" sy="100000" flip="none" algn="tl"/>
              </a:blip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sp macro="" textlink="">
            <xdr:nvSpPr>
              <xdr:cNvPr id="21" name="Oval 20">
                <a:extLst>
                  <a:ext uri="{FF2B5EF4-FFF2-40B4-BE49-F238E27FC236}">
                    <a16:creationId xmlns:a16="http://schemas.microsoft.com/office/drawing/2014/main" id="{00000000-0008-0000-0600-000015000000}"/>
                  </a:ext>
                </a:extLst>
              </xdr:cNvPr>
              <xdr:cNvSpPr/>
            </xdr:nvSpPr>
            <xdr:spPr bwMode="auto">
              <a:xfrm>
                <a:off x="5990167" y="10742084"/>
                <a:ext cx="2190749" cy="1640418"/>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IN" sz="1100"/>
              </a:p>
            </xdr:txBody>
          </xdr:sp>
        </xdr:grpSp>
        <xdr:cxnSp macro="">
          <xdr:nvCxnSpPr>
            <xdr:cNvPr id="15" name="Straight Arrow Connector 14">
              <a:extLst>
                <a:ext uri="{FF2B5EF4-FFF2-40B4-BE49-F238E27FC236}">
                  <a16:creationId xmlns:a16="http://schemas.microsoft.com/office/drawing/2014/main" id="{00000000-0008-0000-0600-00000F000000}"/>
                </a:ext>
              </a:extLst>
            </xdr:cNvPr>
            <xdr:cNvCxnSpPr/>
          </xdr:nvCxnSpPr>
          <xdr:spPr bwMode="auto">
            <a:xfrm rot="10800000">
              <a:off x="7831668" y="11117181"/>
              <a:ext cx="529166" cy="7998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bwMode="auto">
            <a:xfrm rot="10800000">
              <a:off x="6762752" y="11811001"/>
              <a:ext cx="328083" cy="10583"/>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grpSp>
    <xdr:clientData/>
  </xdr:twoCellAnchor>
  <xdr:twoCellAnchor>
    <xdr:from>
      <xdr:col>6</xdr:col>
      <xdr:colOff>254001</xdr:colOff>
      <xdr:row>57</xdr:row>
      <xdr:rowOff>105833</xdr:rowOff>
    </xdr:from>
    <xdr:to>
      <xdr:col>8</xdr:col>
      <xdr:colOff>391584</xdr:colOff>
      <xdr:row>61</xdr:row>
      <xdr:rowOff>68790</xdr:rowOff>
    </xdr:to>
    <xdr:cxnSp macro="">
      <xdr:nvCxnSpPr>
        <xdr:cNvPr id="22" name="Straight Connector 21">
          <a:extLst>
            <a:ext uri="{FF2B5EF4-FFF2-40B4-BE49-F238E27FC236}">
              <a16:creationId xmlns:a16="http://schemas.microsoft.com/office/drawing/2014/main" id="{00000000-0008-0000-0600-000016000000}"/>
            </a:ext>
          </a:extLst>
        </xdr:cNvPr>
        <xdr:cNvCxnSpPr/>
      </xdr:nvCxnSpPr>
      <xdr:spPr bwMode="auto">
        <a:xfrm flipV="1">
          <a:off x="7112001" y="13069358"/>
          <a:ext cx="1318683" cy="73448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16</xdr:col>
      <xdr:colOff>21170</xdr:colOff>
      <xdr:row>46</xdr:row>
      <xdr:rowOff>105837</xdr:rowOff>
    </xdr:from>
    <xdr:to>
      <xdr:col>17</xdr:col>
      <xdr:colOff>412750</xdr:colOff>
      <xdr:row>46</xdr:row>
      <xdr:rowOff>151556</xdr:rowOff>
    </xdr:to>
    <xdr:sp macro="" textlink="">
      <xdr:nvSpPr>
        <xdr:cNvPr id="23" name="Rectangle 22">
          <a:extLst>
            <a:ext uri="{FF2B5EF4-FFF2-40B4-BE49-F238E27FC236}">
              <a16:creationId xmlns:a16="http://schemas.microsoft.com/office/drawing/2014/main" id="{00000000-0008-0000-0600-000017000000}"/>
            </a:ext>
          </a:extLst>
        </xdr:cNvPr>
        <xdr:cNvSpPr/>
      </xdr:nvSpPr>
      <xdr:spPr bwMode="auto">
        <a:xfrm>
          <a:off x="12956120" y="10745262"/>
          <a:ext cx="982130" cy="4571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16</xdr:col>
      <xdr:colOff>198390</xdr:colOff>
      <xdr:row>43</xdr:row>
      <xdr:rowOff>99254</xdr:rowOff>
    </xdr:from>
    <xdr:to>
      <xdr:col>16</xdr:col>
      <xdr:colOff>265276</xdr:colOff>
      <xdr:row>47</xdr:row>
      <xdr:rowOff>22038</xdr:rowOff>
    </xdr:to>
    <xdr:sp macro="" textlink="">
      <xdr:nvSpPr>
        <xdr:cNvPr id="24" name="Rectangle 23">
          <a:extLst>
            <a:ext uri="{FF2B5EF4-FFF2-40B4-BE49-F238E27FC236}">
              <a16:creationId xmlns:a16="http://schemas.microsoft.com/office/drawing/2014/main" id="{00000000-0008-0000-0600-000018000000}"/>
            </a:ext>
          </a:extLst>
        </xdr:cNvPr>
        <xdr:cNvSpPr/>
      </xdr:nvSpPr>
      <xdr:spPr bwMode="auto">
        <a:xfrm rot="18571312">
          <a:off x="12819628" y="10471366"/>
          <a:ext cx="694309" cy="668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17</xdr:col>
      <xdr:colOff>386292</xdr:colOff>
      <xdr:row>45</xdr:row>
      <xdr:rowOff>105838</xdr:rowOff>
    </xdr:from>
    <xdr:to>
      <xdr:col>19</xdr:col>
      <xdr:colOff>116417</xdr:colOff>
      <xdr:row>46</xdr:row>
      <xdr:rowOff>84672</xdr:rowOff>
    </xdr:to>
    <xdr:sp macro="" textlink="">
      <xdr:nvSpPr>
        <xdr:cNvPr id="25" name="Text Box 12">
          <a:extLst>
            <a:ext uri="{FF2B5EF4-FFF2-40B4-BE49-F238E27FC236}">
              <a16:creationId xmlns:a16="http://schemas.microsoft.com/office/drawing/2014/main" id="{00000000-0008-0000-0600-000019000000}"/>
            </a:ext>
          </a:extLst>
        </xdr:cNvPr>
        <xdr:cNvSpPr txBox="1">
          <a:spLocks noChangeArrowheads="1"/>
        </xdr:cNvSpPr>
      </xdr:nvSpPr>
      <xdr:spPr bwMode="auto">
        <a:xfrm>
          <a:off x="13911792" y="10545238"/>
          <a:ext cx="911225" cy="17885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sz="800"/>
        </a:p>
      </xdr:txBody>
    </xdr:sp>
    <xdr:clientData/>
  </xdr:twoCellAnchor>
  <xdr:twoCellAnchor>
    <xdr:from>
      <xdr:col>17</xdr:col>
      <xdr:colOff>68793</xdr:colOff>
      <xdr:row>45</xdr:row>
      <xdr:rowOff>10587</xdr:rowOff>
    </xdr:from>
    <xdr:to>
      <xdr:col>17</xdr:col>
      <xdr:colOff>303045</xdr:colOff>
      <xdr:row>45</xdr:row>
      <xdr:rowOff>57597</xdr:rowOff>
    </xdr:to>
    <xdr:cxnSp macro="">
      <xdr:nvCxnSpPr>
        <xdr:cNvPr id="26" name="Straight Arrow Connector 25">
          <a:extLst>
            <a:ext uri="{FF2B5EF4-FFF2-40B4-BE49-F238E27FC236}">
              <a16:creationId xmlns:a16="http://schemas.microsoft.com/office/drawing/2014/main" id="{00000000-0008-0000-0600-00001A000000}"/>
            </a:ext>
          </a:extLst>
        </xdr:cNvPr>
        <xdr:cNvCxnSpPr>
          <a:stCxn id="6" idx="2"/>
        </xdr:cNvCxnSpPr>
      </xdr:nvCxnSpPr>
      <xdr:spPr bwMode="auto">
        <a:xfrm rot="5400000">
          <a:off x="13687914" y="10356366"/>
          <a:ext cx="47010" cy="234252"/>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6.xml><?xml version="1.0" encoding="utf-8"?>
<c:userShapes xmlns:c="http://schemas.openxmlformats.org/drawingml/2006/chart">
  <cdr:relSizeAnchor xmlns:cdr="http://schemas.openxmlformats.org/drawingml/2006/chartDrawing">
    <cdr:from>
      <cdr:x>0.25135</cdr:x>
      <cdr:y>0.79861</cdr:y>
    </cdr:from>
    <cdr:to>
      <cdr:x>0.37536</cdr:x>
      <cdr:y>0.9184</cdr:y>
    </cdr:to>
    <cdr:pic>
      <cdr:nvPicPr>
        <cdr:cNvPr id="2" name="chart">
          <a:extLst xmlns:a="http://schemas.openxmlformats.org/drawingml/2006/main">
            <a:ext uri="{FF2B5EF4-FFF2-40B4-BE49-F238E27FC236}">
              <a16:creationId xmlns:a16="http://schemas.microsoft.com/office/drawing/2014/main" id="{AA3042E5-BA89-4418-808E-D41992017A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04430" y="2190749"/>
          <a:ext cx="1038276" cy="328613"/>
        </a:xfrm>
        <a:prstGeom xmlns:a="http://schemas.openxmlformats.org/drawingml/2006/main" prst="rect">
          <a:avLst/>
        </a:prstGeom>
      </cdr:spPr>
    </cdr:pic>
  </cdr:relSizeAnchor>
  <cdr:relSizeAnchor xmlns:cdr="http://schemas.openxmlformats.org/drawingml/2006/chartDrawing">
    <cdr:from>
      <cdr:x>0.00761</cdr:x>
      <cdr:y>0.35719</cdr:y>
    </cdr:from>
    <cdr:to>
      <cdr:x>0.04394</cdr:x>
      <cdr:y>0.63774</cdr:y>
    </cdr:to>
    <cdr:pic>
      <cdr:nvPicPr>
        <cdr:cNvPr id="674818" name="chart">
          <a:extLst xmlns:a="http://schemas.openxmlformats.org/drawingml/2006/main">
            <a:ext uri="{FF2B5EF4-FFF2-40B4-BE49-F238E27FC236}">
              <a16:creationId xmlns:a16="http://schemas.microsoft.com/office/drawing/2014/main" id="{84FFA740-80C7-4F8B-BC72-42156D133F9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67526" y="972820"/>
          <a:ext cx="307338" cy="76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7.xml><?xml version="1.0" encoding="utf-8"?>
<c:userShapes xmlns:c="http://schemas.openxmlformats.org/drawingml/2006/chart">
  <cdr:relSizeAnchor xmlns:cdr="http://schemas.openxmlformats.org/drawingml/2006/chartDrawing">
    <cdr:from>
      <cdr:x>0.24448</cdr:x>
      <cdr:y>0.85069</cdr:y>
    </cdr:from>
    <cdr:to>
      <cdr:x>0.33214</cdr:x>
      <cdr:y>0.92848</cdr:y>
    </cdr:to>
    <cdr:pic>
      <cdr:nvPicPr>
        <cdr:cNvPr id="4" name="chart">
          <a:extLst xmlns:a="http://schemas.openxmlformats.org/drawingml/2006/main">
            <a:ext uri="{FF2B5EF4-FFF2-40B4-BE49-F238E27FC236}">
              <a16:creationId xmlns:a16="http://schemas.microsoft.com/office/drawing/2014/main" id="{BCCF3FA5-C2F2-4610-9AA1-D3276FBC0C4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81150" y="2333625"/>
          <a:ext cx="566977" cy="213378"/>
        </a:xfrm>
        <a:prstGeom xmlns:a="http://schemas.openxmlformats.org/drawingml/2006/main" prst="rect">
          <a:avLst/>
        </a:prstGeom>
      </cdr:spPr>
    </cdr:pic>
  </cdr:relSizeAnchor>
  <cdr:relSizeAnchor xmlns:cdr="http://schemas.openxmlformats.org/drawingml/2006/chartDrawing">
    <cdr:from>
      <cdr:x>0</cdr:x>
      <cdr:y>0.44444</cdr:y>
    </cdr:from>
    <cdr:to>
      <cdr:x>0.09521</cdr:x>
      <cdr:y>0.52223</cdr:y>
    </cdr:to>
    <cdr:pic>
      <cdr:nvPicPr>
        <cdr:cNvPr id="5" name="chart">
          <a:extLst xmlns:a="http://schemas.openxmlformats.org/drawingml/2006/main">
            <a:ext uri="{FF2B5EF4-FFF2-40B4-BE49-F238E27FC236}">
              <a16:creationId xmlns:a16="http://schemas.microsoft.com/office/drawing/2014/main" id="{356901C0-948F-4FA1-BA43-3FAAF0CAC1C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0" y="1219200"/>
          <a:ext cx="615749" cy="213378"/>
        </a:xfrm>
        <a:prstGeom xmlns:a="http://schemas.openxmlformats.org/drawingml/2006/main" prst="rect">
          <a:avLst/>
        </a:prstGeom>
      </cdr:spPr>
    </cdr:pic>
  </cdr:relSizeAnchor>
  <cdr:relSizeAnchor xmlns:cdr="http://schemas.openxmlformats.org/drawingml/2006/chartDrawing">
    <cdr:from>
      <cdr:x>0.40353</cdr:x>
      <cdr:y>0.23438</cdr:y>
    </cdr:from>
    <cdr:to>
      <cdr:x>0.91016</cdr:x>
      <cdr:y>0.36285</cdr:y>
    </cdr:to>
    <cdr:sp macro="" textlink="">
      <cdr:nvSpPr>
        <cdr:cNvPr id="6" name="TextBox 5"/>
        <cdr:cNvSpPr txBox="1"/>
      </cdr:nvSpPr>
      <cdr:spPr>
        <a:xfrm xmlns:a="http://schemas.openxmlformats.org/drawingml/2006/main">
          <a:off x="2609849" y="642938"/>
          <a:ext cx="32766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50">
              <a:solidFill>
                <a:srgbClr val="FF0000"/>
              </a:solidFill>
            </a:rPr>
            <a:t>                                   </a:t>
          </a:r>
          <a:r>
            <a:rPr lang="en-US" sz="1100">
              <a:effectLst/>
              <a:latin typeface="+mn-lt"/>
              <a:ea typeface="+mn-ea"/>
              <a:cs typeface="+mn-cs"/>
            </a:rPr>
            <a:t>Depth of flow over weir</a:t>
          </a:r>
          <a:r>
            <a:rPr lang="en-US" sz="1050">
              <a:solidFill>
                <a:srgbClr val="FF0000"/>
              </a:solidFill>
            </a:rPr>
            <a:t>                  </a:t>
          </a:r>
          <a:r>
            <a:rPr lang="en-US" sz="1050">
              <a:solidFill>
                <a:schemeClr val="tx2">
                  <a:lumMod val="50000"/>
                </a:schemeClr>
              </a:solidFill>
            </a:rPr>
            <a:t>waste weir</a:t>
          </a:r>
        </a:p>
      </cdr:txBody>
    </cdr:sp>
  </cdr:relSizeAnchor>
</c:userShapes>
</file>

<file path=xl/drawings/drawing8.xml><?xml version="1.0" encoding="utf-8"?>
<xdr:wsDr xmlns:xdr="http://schemas.openxmlformats.org/drawingml/2006/spreadsheetDrawing" xmlns:a="http://schemas.openxmlformats.org/drawingml/2006/main">
  <xdr:twoCellAnchor>
    <xdr:from>
      <xdr:col>28</xdr:col>
      <xdr:colOff>9525</xdr:colOff>
      <xdr:row>16</xdr:row>
      <xdr:rowOff>47625</xdr:rowOff>
    </xdr:from>
    <xdr:to>
      <xdr:col>51</xdr:col>
      <xdr:colOff>28575</xdr:colOff>
      <xdr:row>16</xdr:row>
      <xdr:rowOff>47625</xdr:rowOff>
    </xdr:to>
    <xdr:cxnSp macro="">
      <xdr:nvCxnSpPr>
        <xdr:cNvPr id="684718" name="Straight Arrow Connector 2">
          <a:extLst>
            <a:ext uri="{FF2B5EF4-FFF2-40B4-BE49-F238E27FC236}">
              <a16:creationId xmlns:a16="http://schemas.microsoft.com/office/drawing/2014/main" id="{00000000-0008-0000-0700-0000AE720A00}"/>
            </a:ext>
          </a:extLst>
        </xdr:cNvPr>
        <xdr:cNvCxnSpPr>
          <a:cxnSpLocks noChangeShapeType="1"/>
        </xdr:cNvCxnSpPr>
      </xdr:nvCxnSpPr>
      <xdr:spPr bwMode="auto">
        <a:xfrm>
          <a:off x="1524000" y="1419225"/>
          <a:ext cx="1771650" cy="0"/>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23</xdr:col>
      <xdr:colOff>66675</xdr:colOff>
      <xdr:row>11</xdr:row>
      <xdr:rowOff>9525</xdr:rowOff>
    </xdr:from>
    <xdr:to>
      <xdr:col>23</xdr:col>
      <xdr:colOff>66675</xdr:colOff>
      <xdr:row>19</xdr:row>
      <xdr:rowOff>0</xdr:rowOff>
    </xdr:to>
    <xdr:cxnSp macro="">
      <xdr:nvCxnSpPr>
        <xdr:cNvPr id="684719" name="Straight Arrow Connector 3">
          <a:extLst>
            <a:ext uri="{FF2B5EF4-FFF2-40B4-BE49-F238E27FC236}">
              <a16:creationId xmlns:a16="http://schemas.microsoft.com/office/drawing/2014/main" id="{00000000-0008-0000-0700-0000AF720A00}"/>
            </a:ext>
          </a:extLst>
        </xdr:cNvPr>
        <xdr:cNvCxnSpPr>
          <a:cxnSpLocks noChangeShapeType="1"/>
        </xdr:cNvCxnSpPr>
      </xdr:nvCxnSpPr>
      <xdr:spPr bwMode="auto">
        <a:xfrm flipH="1" flipV="1">
          <a:off x="1200150" y="952500"/>
          <a:ext cx="0" cy="676275"/>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23</xdr:col>
      <xdr:colOff>66675</xdr:colOff>
      <xdr:row>18</xdr:row>
      <xdr:rowOff>76200</xdr:rowOff>
    </xdr:from>
    <xdr:to>
      <xdr:col>23</xdr:col>
      <xdr:colOff>66675</xdr:colOff>
      <xdr:row>24</xdr:row>
      <xdr:rowOff>19050</xdr:rowOff>
    </xdr:to>
    <xdr:cxnSp macro="">
      <xdr:nvCxnSpPr>
        <xdr:cNvPr id="684720" name="Straight Arrow Connector 5">
          <a:extLst>
            <a:ext uri="{FF2B5EF4-FFF2-40B4-BE49-F238E27FC236}">
              <a16:creationId xmlns:a16="http://schemas.microsoft.com/office/drawing/2014/main" id="{00000000-0008-0000-0700-0000B0720A00}"/>
            </a:ext>
          </a:extLst>
        </xdr:cNvPr>
        <xdr:cNvCxnSpPr>
          <a:cxnSpLocks noChangeShapeType="1"/>
        </xdr:cNvCxnSpPr>
      </xdr:nvCxnSpPr>
      <xdr:spPr bwMode="auto">
        <a:xfrm flipV="1">
          <a:off x="1200150" y="1619250"/>
          <a:ext cx="0" cy="457200"/>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55</xdr:col>
      <xdr:colOff>66675</xdr:colOff>
      <xdr:row>11</xdr:row>
      <xdr:rowOff>0</xdr:rowOff>
    </xdr:from>
    <xdr:to>
      <xdr:col>55</xdr:col>
      <xdr:colOff>66675</xdr:colOff>
      <xdr:row>24</xdr:row>
      <xdr:rowOff>19050</xdr:rowOff>
    </xdr:to>
    <xdr:cxnSp macro="">
      <xdr:nvCxnSpPr>
        <xdr:cNvPr id="684721" name="Straight Arrow Connector 7">
          <a:extLst>
            <a:ext uri="{FF2B5EF4-FFF2-40B4-BE49-F238E27FC236}">
              <a16:creationId xmlns:a16="http://schemas.microsoft.com/office/drawing/2014/main" id="{00000000-0008-0000-0700-0000B1720A00}"/>
            </a:ext>
          </a:extLst>
        </xdr:cNvPr>
        <xdr:cNvCxnSpPr>
          <a:cxnSpLocks noChangeShapeType="1"/>
        </xdr:cNvCxnSpPr>
      </xdr:nvCxnSpPr>
      <xdr:spPr bwMode="auto">
        <a:xfrm flipV="1">
          <a:off x="3638550" y="942975"/>
          <a:ext cx="0" cy="1133475"/>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37</xdr:col>
      <xdr:colOff>38100</xdr:colOff>
      <xdr:row>18</xdr:row>
      <xdr:rowOff>0</xdr:rowOff>
    </xdr:from>
    <xdr:to>
      <xdr:col>37</xdr:col>
      <xdr:colOff>38100</xdr:colOff>
      <xdr:row>23</xdr:row>
      <xdr:rowOff>28575</xdr:rowOff>
    </xdr:to>
    <xdr:cxnSp macro="">
      <xdr:nvCxnSpPr>
        <xdr:cNvPr id="684722" name="Straight Arrow Connector 9">
          <a:extLst>
            <a:ext uri="{FF2B5EF4-FFF2-40B4-BE49-F238E27FC236}">
              <a16:creationId xmlns:a16="http://schemas.microsoft.com/office/drawing/2014/main" id="{00000000-0008-0000-0700-0000B2720A00}"/>
            </a:ext>
          </a:extLst>
        </xdr:cNvPr>
        <xdr:cNvCxnSpPr>
          <a:cxnSpLocks noChangeShapeType="1"/>
        </xdr:cNvCxnSpPr>
      </xdr:nvCxnSpPr>
      <xdr:spPr bwMode="auto">
        <a:xfrm flipV="1">
          <a:off x="2238375" y="1543050"/>
          <a:ext cx="0" cy="457200"/>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23</xdr:col>
      <xdr:colOff>57150</xdr:colOff>
      <xdr:row>33</xdr:row>
      <xdr:rowOff>19050</xdr:rowOff>
    </xdr:from>
    <xdr:to>
      <xdr:col>55</xdr:col>
      <xdr:colOff>0</xdr:colOff>
      <xdr:row>33</xdr:row>
      <xdr:rowOff>19050</xdr:rowOff>
    </xdr:to>
    <xdr:cxnSp macro="">
      <xdr:nvCxnSpPr>
        <xdr:cNvPr id="684723" name="Straight Arrow Connector 10">
          <a:extLst>
            <a:ext uri="{FF2B5EF4-FFF2-40B4-BE49-F238E27FC236}">
              <a16:creationId xmlns:a16="http://schemas.microsoft.com/office/drawing/2014/main" id="{00000000-0008-0000-0700-0000B3720A00}"/>
            </a:ext>
          </a:extLst>
        </xdr:cNvPr>
        <xdr:cNvCxnSpPr>
          <a:cxnSpLocks noChangeShapeType="1"/>
        </xdr:cNvCxnSpPr>
      </xdr:nvCxnSpPr>
      <xdr:spPr bwMode="auto">
        <a:xfrm>
          <a:off x="1190625" y="2847975"/>
          <a:ext cx="2381250" cy="0"/>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56</xdr:col>
      <xdr:colOff>57150</xdr:colOff>
      <xdr:row>33</xdr:row>
      <xdr:rowOff>66675</xdr:rowOff>
    </xdr:from>
    <xdr:to>
      <xdr:col>56</xdr:col>
      <xdr:colOff>57150</xdr:colOff>
      <xdr:row>49</xdr:row>
      <xdr:rowOff>28575</xdr:rowOff>
    </xdr:to>
    <xdr:cxnSp macro="">
      <xdr:nvCxnSpPr>
        <xdr:cNvPr id="684724" name="Straight Arrow Connector 12">
          <a:extLst>
            <a:ext uri="{FF2B5EF4-FFF2-40B4-BE49-F238E27FC236}">
              <a16:creationId xmlns:a16="http://schemas.microsoft.com/office/drawing/2014/main" id="{00000000-0008-0000-0700-0000B4720A00}"/>
            </a:ext>
          </a:extLst>
        </xdr:cNvPr>
        <xdr:cNvCxnSpPr>
          <a:cxnSpLocks noChangeShapeType="1"/>
        </xdr:cNvCxnSpPr>
      </xdr:nvCxnSpPr>
      <xdr:spPr bwMode="auto">
        <a:xfrm flipV="1">
          <a:off x="3705225" y="2895600"/>
          <a:ext cx="0" cy="1619250"/>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29</xdr:col>
      <xdr:colOff>0</xdr:colOff>
      <xdr:row>54</xdr:row>
      <xdr:rowOff>0</xdr:rowOff>
    </xdr:from>
    <xdr:to>
      <xdr:col>36</xdr:col>
      <xdr:colOff>0</xdr:colOff>
      <xdr:row>58</xdr:row>
      <xdr:rowOff>0</xdr:rowOff>
    </xdr:to>
    <xdr:cxnSp macro="">
      <xdr:nvCxnSpPr>
        <xdr:cNvPr id="684725" name="Straight Connector 15">
          <a:extLst>
            <a:ext uri="{FF2B5EF4-FFF2-40B4-BE49-F238E27FC236}">
              <a16:creationId xmlns:a16="http://schemas.microsoft.com/office/drawing/2014/main" id="{00000000-0008-0000-0700-0000B5720A00}"/>
            </a:ext>
          </a:extLst>
        </xdr:cNvPr>
        <xdr:cNvCxnSpPr>
          <a:cxnSpLocks noChangeShapeType="1"/>
        </xdr:cNvCxnSpPr>
      </xdr:nvCxnSpPr>
      <xdr:spPr bwMode="auto">
        <a:xfrm flipV="1">
          <a:off x="1590675" y="5114925"/>
          <a:ext cx="533400" cy="342900"/>
        </a:xfrm>
        <a:prstGeom prst="line">
          <a:avLst/>
        </a:prstGeom>
        <a:noFill/>
        <a:ln w="9525" algn="ctr">
          <a:solidFill>
            <a:srgbClr val="000000"/>
          </a:solidFill>
          <a:round/>
          <a:headEnd/>
          <a:tailEnd/>
        </a:ln>
      </xdr:spPr>
    </xdr:cxnSp>
    <xdr:clientData/>
  </xdr:twoCellAnchor>
  <xdr:twoCellAnchor>
    <xdr:from>
      <xdr:col>44</xdr:col>
      <xdr:colOff>0</xdr:colOff>
      <xdr:row>54</xdr:row>
      <xdr:rowOff>0</xdr:rowOff>
    </xdr:from>
    <xdr:to>
      <xdr:col>49</xdr:col>
      <xdr:colOff>19050</xdr:colOff>
      <xdr:row>58</xdr:row>
      <xdr:rowOff>28575</xdr:rowOff>
    </xdr:to>
    <xdr:cxnSp macro="">
      <xdr:nvCxnSpPr>
        <xdr:cNvPr id="684726" name="Straight Connector 17">
          <a:extLst>
            <a:ext uri="{FF2B5EF4-FFF2-40B4-BE49-F238E27FC236}">
              <a16:creationId xmlns:a16="http://schemas.microsoft.com/office/drawing/2014/main" id="{00000000-0008-0000-0700-0000B6720A00}"/>
            </a:ext>
          </a:extLst>
        </xdr:cNvPr>
        <xdr:cNvCxnSpPr>
          <a:cxnSpLocks noChangeShapeType="1"/>
        </xdr:cNvCxnSpPr>
      </xdr:nvCxnSpPr>
      <xdr:spPr bwMode="auto">
        <a:xfrm>
          <a:off x="2733675" y="5114925"/>
          <a:ext cx="400050" cy="371475"/>
        </a:xfrm>
        <a:prstGeom prst="line">
          <a:avLst/>
        </a:prstGeom>
        <a:noFill/>
        <a:ln w="9525" algn="ctr">
          <a:solidFill>
            <a:srgbClr val="000000"/>
          </a:solidFill>
          <a:round/>
          <a:headEnd/>
          <a:tailEnd/>
        </a:ln>
      </xdr:spPr>
    </xdr:cxnSp>
    <xdr:clientData/>
  </xdr:twoCellAnchor>
  <xdr:twoCellAnchor>
    <xdr:from>
      <xdr:col>43</xdr:col>
      <xdr:colOff>19050</xdr:colOff>
      <xdr:row>54</xdr:row>
      <xdr:rowOff>0</xdr:rowOff>
    </xdr:from>
    <xdr:to>
      <xdr:col>43</xdr:col>
      <xdr:colOff>19050</xdr:colOff>
      <xdr:row>61</xdr:row>
      <xdr:rowOff>0</xdr:rowOff>
    </xdr:to>
    <xdr:cxnSp macro="">
      <xdr:nvCxnSpPr>
        <xdr:cNvPr id="684727" name="Straight Arrow Connector 20">
          <a:extLst>
            <a:ext uri="{FF2B5EF4-FFF2-40B4-BE49-F238E27FC236}">
              <a16:creationId xmlns:a16="http://schemas.microsoft.com/office/drawing/2014/main" id="{00000000-0008-0000-0700-0000B7720A00}"/>
            </a:ext>
          </a:extLst>
        </xdr:cNvPr>
        <xdr:cNvCxnSpPr>
          <a:cxnSpLocks noChangeShapeType="1"/>
        </xdr:cNvCxnSpPr>
      </xdr:nvCxnSpPr>
      <xdr:spPr bwMode="auto">
        <a:xfrm flipH="1" flipV="1">
          <a:off x="2676525" y="5114925"/>
          <a:ext cx="0" cy="600075"/>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28</xdr:col>
      <xdr:colOff>0</xdr:colOff>
      <xdr:row>57</xdr:row>
      <xdr:rowOff>57150</xdr:rowOff>
    </xdr:from>
    <xdr:to>
      <xdr:col>28</xdr:col>
      <xdr:colOff>0</xdr:colOff>
      <xdr:row>64</xdr:row>
      <xdr:rowOff>9525</xdr:rowOff>
    </xdr:to>
    <xdr:cxnSp macro="">
      <xdr:nvCxnSpPr>
        <xdr:cNvPr id="684728" name="Straight Arrow Connector 22">
          <a:extLst>
            <a:ext uri="{FF2B5EF4-FFF2-40B4-BE49-F238E27FC236}">
              <a16:creationId xmlns:a16="http://schemas.microsoft.com/office/drawing/2014/main" id="{00000000-0008-0000-0700-0000B8720A00}"/>
            </a:ext>
          </a:extLst>
        </xdr:cNvPr>
        <xdr:cNvCxnSpPr>
          <a:cxnSpLocks noChangeShapeType="1"/>
        </xdr:cNvCxnSpPr>
      </xdr:nvCxnSpPr>
      <xdr:spPr bwMode="auto">
        <a:xfrm flipH="1" flipV="1">
          <a:off x="1514475" y="5429250"/>
          <a:ext cx="0" cy="552450"/>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53</xdr:col>
      <xdr:colOff>0</xdr:colOff>
      <xdr:row>61</xdr:row>
      <xdr:rowOff>0</xdr:rowOff>
    </xdr:from>
    <xdr:to>
      <xdr:col>53</xdr:col>
      <xdr:colOff>0</xdr:colOff>
      <xdr:row>64</xdr:row>
      <xdr:rowOff>19050</xdr:rowOff>
    </xdr:to>
    <xdr:cxnSp macro="">
      <xdr:nvCxnSpPr>
        <xdr:cNvPr id="684729" name="Straight Arrow Connector 23">
          <a:extLst>
            <a:ext uri="{FF2B5EF4-FFF2-40B4-BE49-F238E27FC236}">
              <a16:creationId xmlns:a16="http://schemas.microsoft.com/office/drawing/2014/main" id="{00000000-0008-0000-0700-0000B9720A00}"/>
            </a:ext>
          </a:extLst>
        </xdr:cNvPr>
        <xdr:cNvCxnSpPr>
          <a:cxnSpLocks noChangeShapeType="1"/>
        </xdr:cNvCxnSpPr>
      </xdr:nvCxnSpPr>
      <xdr:spPr bwMode="auto">
        <a:xfrm flipH="1" flipV="1">
          <a:off x="3419475" y="5715000"/>
          <a:ext cx="0" cy="276225"/>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52</xdr:col>
      <xdr:colOff>66675</xdr:colOff>
      <xdr:row>58</xdr:row>
      <xdr:rowOff>0</xdr:rowOff>
    </xdr:from>
    <xdr:to>
      <xdr:col>52</xdr:col>
      <xdr:colOff>66675</xdr:colOff>
      <xdr:row>61</xdr:row>
      <xdr:rowOff>19050</xdr:rowOff>
    </xdr:to>
    <xdr:cxnSp macro="">
      <xdr:nvCxnSpPr>
        <xdr:cNvPr id="684730" name="Straight Arrow Connector 25">
          <a:extLst>
            <a:ext uri="{FF2B5EF4-FFF2-40B4-BE49-F238E27FC236}">
              <a16:creationId xmlns:a16="http://schemas.microsoft.com/office/drawing/2014/main" id="{00000000-0008-0000-0700-0000BA720A00}"/>
            </a:ext>
          </a:extLst>
        </xdr:cNvPr>
        <xdr:cNvCxnSpPr>
          <a:cxnSpLocks noChangeShapeType="1"/>
        </xdr:cNvCxnSpPr>
      </xdr:nvCxnSpPr>
      <xdr:spPr bwMode="auto">
        <a:xfrm flipH="1" flipV="1">
          <a:off x="3409950" y="5457825"/>
          <a:ext cx="0" cy="276225"/>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26</xdr:col>
      <xdr:colOff>66675</xdr:colOff>
      <xdr:row>23</xdr:row>
      <xdr:rowOff>57150</xdr:rowOff>
    </xdr:from>
    <xdr:to>
      <xdr:col>31</xdr:col>
      <xdr:colOff>38100</xdr:colOff>
      <xdr:row>27</xdr:row>
      <xdr:rowOff>57150</xdr:rowOff>
    </xdr:to>
    <xdr:cxnSp macro="">
      <xdr:nvCxnSpPr>
        <xdr:cNvPr id="684731" name="Straight Arrow Connector 26">
          <a:extLst>
            <a:ext uri="{FF2B5EF4-FFF2-40B4-BE49-F238E27FC236}">
              <a16:creationId xmlns:a16="http://schemas.microsoft.com/office/drawing/2014/main" id="{00000000-0008-0000-0700-0000BB720A00}"/>
            </a:ext>
          </a:extLst>
        </xdr:cNvPr>
        <xdr:cNvCxnSpPr>
          <a:cxnSpLocks noChangeShapeType="1"/>
        </xdr:cNvCxnSpPr>
      </xdr:nvCxnSpPr>
      <xdr:spPr bwMode="auto">
        <a:xfrm flipV="1">
          <a:off x="1428750" y="2028825"/>
          <a:ext cx="352425" cy="342900"/>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42</xdr:col>
      <xdr:colOff>57150</xdr:colOff>
      <xdr:row>59</xdr:row>
      <xdr:rowOff>9525</xdr:rowOff>
    </xdr:from>
    <xdr:to>
      <xdr:col>64</xdr:col>
      <xdr:colOff>38100</xdr:colOff>
      <xdr:row>59</xdr:row>
      <xdr:rowOff>19050</xdr:rowOff>
    </xdr:to>
    <xdr:cxnSp macro="">
      <xdr:nvCxnSpPr>
        <xdr:cNvPr id="684732" name="Straight Connector 27">
          <a:extLst>
            <a:ext uri="{FF2B5EF4-FFF2-40B4-BE49-F238E27FC236}">
              <a16:creationId xmlns:a16="http://schemas.microsoft.com/office/drawing/2014/main" id="{00000000-0008-0000-0700-0000BC720A00}"/>
            </a:ext>
          </a:extLst>
        </xdr:cNvPr>
        <xdr:cNvCxnSpPr>
          <a:cxnSpLocks noChangeShapeType="1"/>
        </xdr:cNvCxnSpPr>
      </xdr:nvCxnSpPr>
      <xdr:spPr bwMode="auto">
        <a:xfrm>
          <a:off x="2638425" y="5553075"/>
          <a:ext cx="1657350" cy="9525"/>
        </a:xfrm>
        <a:prstGeom prst="line">
          <a:avLst/>
        </a:prstGeom>
        <a:noFill/>
        <a:ln w="3175" algn="ctr">
          <a:solidFill>
            <a:srgbClr val="000000"/>
          </a:solidFill>
          <a:prstDash val="dash"/>
          <a:round/>
          <a:headEnd/>
          <a:tailEnd/>
        </a:ln>
      </xdr:spPr>
    </xdr:cxnSp>
    <xdr:clientData/>
  </xdr:twoCellAnchor>
  <xdr:twoCellAnchor>
    <xdr:from>
      <xdr:col>30</xdr:col>
      <xdr:colOff>0</xdr:colOff>
      <xdr:row>43</xdr:row>
      <xdr:rowOff>9525</xdr:rowOff>
    </xdr:from>
    <xdr:to>
      <xdr:col>30</xdr:col>
      <xdr:colOff>0</xdr:colOff>
      <xdr:row>52</xdr:row>
      <xdr:rowOff>19050</xdr:rowOff>
    </xdr:to>
    <xdr:cxnSp macro="">
      <xdr:nvCxnSpPr>
        <xdr:cNvPr id="684733" name="Straight Arrow Connector 10">
          <a:extLst>
            <a:ext uri="{FF2B5EF4-FFF2-40B4-BE49-F238E27FC236}">
              <a16:creationId xmlns:a16="http://schemas.microsoft.com/office/drawing/2014/main" id="{00000000-0008-0000-0700-0000BD720A00}"/>
            </a:ext>
          </a:extLst>
        </xdr:cNvPr>
        <xdr:cNvCxnSpPr>
          <a:cxnSpLocks noChangeShapeType="1"/>
        </xdr:cNvCxnSpPr>
      </xdr:nvCxnSpPr>
      <xdr:spPr bwMode="auto">
        <a:xfrm>
          <a:off x="1666875" y="3695700"/>
          <a:ext cx="0" cy="1266825"/>
        </a:xfrm>
        <a:prstGeom prst="straightConnector1">
          <a:avLst/>
        </a:prstGeom>
        <a:noFill/>
        <a:ln w="3175" algn="ctr">
          <a:solidFill>
            <a:srgbClr val="000000"/>
          </a:solidFill>
          <a:prstDash val="dash"/>
          <a:round/>
          <a:headEnd type="arrow" w="med" len="med"/>
          <a:tailEnd type="arrow" w="med" len="med"/>
        </a:ln>
      </xdr:spPr>
    </xdr:cxnSp>
    <xdr:clientData/>
  </xdr:twoCellAnchor>
  <xdr:twoCellAnchor>
    <xdr:from>
      <xdr:col>15</xdr:col>
      <xdr:colOff>0</xdr:colOff>
      <xdr:row>59</xdr:row>
      <xdr:rowOff>28575</xdr:rowOff>
    </xdr:from>
    <xdr:to>
      <xdr:col>39</xdr:col>
      <xdr:colOff>9525</xdr:colOff>
      <xdr:row>59</xdr:row>
      <xdr:rowOff>47625</xdr:rowOff>
    </xdr:to>
    <xdr:cxnSp macro="">
      <xdr:nvCxnSpPr>
        <xdr:cNvPr id="684734" name="Straight Arrow Connector 22">
          <a:extLst>
            <a:ext uri="{FF2B5EF4-FFF2-40B4-BE49-F238E27FC236}">
              <a16:creationId xmlns:a16="http://schemas.microsoft.com/office/drawing/2014/main" id="{00000000-0008-0000-0700-0000BE720A00}"/>
            </a:ext>
          </a:extLst>
        </xdr:cNvPr>
        <xdr:cNvCxnSpPr>
          <a:cxnSpLocks noChangeShapeType="1"/>
        </xdr:cNvCxnSpPr>
      </xdr:nvCxnSpPr>
      <xdr:spPr bwMode="auto">
        <a:xfrm flipH="1" flipV="1">
          <a:off x="228600" y="5572125"/>
          <a:ext cx="2133600" cy="19050"/>
        </a:xfrm>
        <a:prstGeom prst="straightConnector1">
          <a:avLst/>
        </a:prstGeom>
        <a:noFill/>
        <a:ln w="3175" algn="ctr">
          <a:solidFill>
            <a:srgbClr val="000000"/>
          </a:solidFill>
          <a:prstDash val="dash"/>
          <a:round/>
          <a:headEnd type="arrow" w="med" len="med"/>
          <a:tailEnd type="arrow" w="med" len="me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
  <sheetViews>
    <sheetView view="pageBreakPreview" topLeftCell="A7" zoomScaleNormal="100" zoomScaleSheetLayoutView="100" workbookViewId="0">
      <selection activeCell="D38" sqref="D38:D40"/>
    </sheetView>
  </sheetViews>
  <sheetFormatPr defaultRowHeight="12.75"/>
  <cols>
    <col min="1" max="1" width="6.28515625" customWidth="1"/>
    <col min="2" max="2" width="20.140625" customWidth="1"/>
    <col min="3" max="3" width="29" customWidth="1"/>
    <col min="4" max="4" width="74.7109375" customWidth="1"/>
  </cols>
  <sheetData>
    <row r="1" spans="1:4" ht="125.25" customHeight="1">
      <c r="A1" s="265"/>
      <c r="B1" s="560" t="s">
        <v>448</v>
      </c>
      <c r="C1" s="560"/>
      <c r="D1" s="560"/>
    </row>
    <row r="2" spans="1:4" ht="127.5" customHeight="1">
      <c r="A2" s="547">
        <v>1</v>
      </c>
      <c r="B2" s="471" t="s">
        <v>219</v>
      </c>
      <c r="C2" s="561" t="s">
        <v>449</v>
      </c>
      <c r="D2" s="561"/>
    </row>
    <row r="3" spans="1:4" ht="42.75" customHeight="1">
      <c r="A3" s="547">
        <v>2</v>
      </c>
      <c r="B3" s="471" t="s">
        <v>220</v>
      </c>
      <c r="C3" s="555"/>
      <c r="D3" s="555"/>
    </row>
    <row r="4" spans="1:4" ht="147.75" customHeight="1">
      <c r="A4" s="479"/>
      <c r="B4" s="482" t="s">
        <v>463</v>
      </c>
      <c r="C4" s="562" t="s">
        <v>450</v>
      </c>
      <c r="D4" s="563"/>
    </row>
    <row r="5" spans="1:4" ht="58.5" customHeight="1">
      <c r="A5" s="479"/>
      <c r="B5" s="482" t="s">
        <v>451</v>
      </c>
      <c r="C5" s="556" t="s">
        <v>454</v>
      </c>
      <c r="D5" s="556"/>
    </row>
    <row r="6" spans="1:4" ht="58.5" customHeight="1">
      <c r="A6" s="479"/>
      <c r="B6" s="482" t="s">
        <v>452</v>
      </c>
      <c r="C6" s="556" t="s">
        <v>221</v>
      </c>
      <c r="D6" s="556"/>
    </row>
    <row r="7" spans="1:4" ht="58.5" customHeight="1">
      <c r="A7" s="479"/>
      <c r="B7" s="482" t="s">
        <v>453</v>
      </c>
      <c r="C7" s="556" t="s">
        <v>222</v>
      </c>
      <c r="D7" s="556"/>
    </row>
    <row r="8" spans="1:4" ht="18.75">
      <c r="A8" s="479"/>
      <c r="B8" s="471"/>
      <c r="C8" s="555"/>
      <c r="D8" s="555"/>
    </row>
    <row r="9" spans="1:4" ht="18.75">
      <c r="A9" s="550">
        <v>3</v>
      </c>
      <c r="B9" s="471" t="s">
        <v>223</v>
      </c>
      <c r="C9" s="555"/>
      <c r="D9" s="555"/>
    </row>
    <row r="10" spans="1:4" ht="37.5">
      <c r="A10" s="484"/>
      <c r="B10" s="482" t="s">
        <v>455</v>
      </c>
      <c r="C10" s="556" t="s">
        <v>376</v>
      </c>
      <c r="D10" s="556"/>
    </row>
    <row r="11" spans="1:4" ht="37.5">
      <c r="A11" s="550"/>
      <c r="B11" s="482" t="s">
        <v>456</v>
      </c>
      <c r="C11" s="556" t="s">
        <v>459</v>
      </c>
      <c r="D11" s="556"/>
    </row>
    <row r="12" spans="1:4" ht="37.5">
      <c r="A12" s="550"/>
      <c r="B12" s="482" t="s">
        <v>457</v>
      </c>
      <c r="C12" s="556" t="s">
        <v>460</v>
      </c>
      <c r="D12" s="556"/>
    </row>
    <row r="13" spans="1:4" ht="37.5">
      <c r="A13" s="550"/>
      <c r="B13" s="482" t="s">
        <v>458</v>
      </c>
      <c r="C13" s="557" t="s">
        <v>461</v>
      </c>
      <c r="D13" s="557"/>
    </row>
    <row r="14" spans="1:4" ht="18.75">
      <c r="A14" s="550"/>
      <c r="B14" s="471"/>
      <c r="C14" s="555"/>
      <c r="D14" s="555"/>
    </row>
    <row r="15" spans="1:4" ht="37.5">
      <c r="A15" s="550">
        <v>4</v>
      </c>
      <c r="B15" s="471" t="s">
        <v>224</v>
      </c>
      <c r="C15" s="555"/>
      <c r="D15" s="555"/>
    </row>
    <row r="16" spans="1:4" ht="79.5" customHeight="1">
      <c r="A16" s="550"/>
      <c r="B16" s="471" t="s">
        <v>462</v>
      </c>
      <c r="C16" s="556" t="s">
        <v>225</v>
      </c>
      <c r="D16" s="556"/>
    </row>
    <row r="17" spans="1:4" ht="33" customHeight="1">
      <c r="A17" s="550"/>
      <c r="B17" s="472" t="s">
        <v>226</v>
      </c>
      <c r="C17" s="556" t="s">
        <v>227</v>
      </c>
      <c r="D17" s="556"/>
    </row>
    <row r="18" spans="1:4" ht="64.5" customHeight="1">
      <c r="A18" s="550"/>
      <c r="B18" s="472" t="s">
        <v>228</v>
      </c>
      <c r="C18" s="556" t="s">
        <v>464</v>
      </c>
      <c r="D18" s="556"/>
    </row>
    <row r="19" spans="1:4" ht="37.5">
      <c r="A19" s="550"/>
      <c r="B19" s="472" t="s">
        <v>229</v>
      </c>
      <c r="C19" s="558" t="s">
        <v>465</v>
      </c>
      <c r="D19" s="559"/>
    </row>
    <row r="20" spans="1:4" ht="37.5">
      <c r="A20" s="550"/>
      <c r="B20" s="472" t="s">
        <v>301</v>
      </c>
      <c r="C20" s="558" t="s">
        <v>466</v>
      </c>
      <c r="D20" s="559"/>
    </row>
    <row r="21" spans="1:4" ht="57.75" customHeight="1">
      <c r="A21" s="550"/>
      <c r="B21" s="472" t="s">
        <v>302</v>
      </c>
      <c r="C21" s="556" t="s">
        <v>268</v>
      </c>
      <c r="D21" s="556"/>
    </row>
    <row r="22" spans="1:4" ht="60" customHeight="1">
      <c r="A22" s="550"/>
      <c r="B22" s="472" t="s">
        <v>304</v>
      </c>
      <c r="C22" s="556" t="s">
        <v>294</v>
      </c>
      <c r="D22" s="556"/>
    </row>
    <row r="23" spans="1:4" ht="59.25" customHeight="1">
      <c r="A23" s="550"/>
      <c r="B23" s="472" t="s">
        <v>303</v>
      </c>
      <c r="C23" s="558" t="s">
        <v>421</v>
      </c>
      <c r="D23" s="559"/>
    </row>
    <row r="24" spans="1:4" ht="79.5" customHeight="1">
      <c r="A24" s="550"/>
      <c r="B24" s="472" t="s">
        <v>410</v>
      </c>
      <c r="C24" s="558" t="s">
        <v>417</v>
      </c>
      <c r="D24" s="559"/>
    </row>
    <row r="25" spans="1:4" ht="108" customHeight="1">
      <c r="A25" s="550"/>
      <c r="B25" s="472" t="s">
        <v>411</v>
      </c>
      <c r="C25" s="558" t="s">
        <v>437</v>
      </c>
      <c r="D25" s="559"/>
    </row>
    <row r="26" spans="1:4" ht="142.5" customHeight="1">
      <c r="A26" s="550"/>
      <c r="B26" s="472" t="s">
        <v>423</v>
      </c>
      <c r="C26" s="558" t="s">
        <v>436</v>
      </c>
      <c r="D26" s="559"/>
    </row>
    <row r="27" spans="1:4" ht="87.75" customHeight="1">
      <c r="A27" s="550"/>
      <c r="B27" s="472" t="s">
        <v>424</v>
      </c>
      <c r="C27" s="556" t="s">
        <v>427</v>
      </c>
      <c r="D27" s="556"/>
    </row>
    <row r="28" spans="1:4" ht="105" customHeight="1">
      <c r="A28" s="550"/>
      <c r="B28" s="480" t="s">
        <v>412</v>
      </c>
      <c r="C28" s="558" t="s">
        <v>433</v>
      </c>
      <c r="D28" s="559"/>
    </row>
    <row r="29" spans="1:4" ht="102" customHeight="1">
      <c r="A29" s="550"/>
      <c r="B29" s="480" t="s">
        <v>413</v>
      </c>
      <c r="C29" s="562" t="s">
        <v>438</v>
      </c>
      <c r="D29" s="563"/>
    </row>
    <row r="30" spans="1:4" ht="83.25" customHeight="1">
      <c r="A30" s="550"/>
      <c r="B30" s="480" t="s">
        <v>414</v>
      </c>
      <c r="C30" s="562" t="s">
        <v>407</v>
      </c>
      <c r="D30" s="563"/>
    </row>
    <row r="31" spans="1:4" ht="65.25" customHeight="1">
      <c r="A31" s="550"/>
      <c r="B31" s="480" t="s">
        <v>415</v>
      </c>
      <c r="C31" s="558" t="s">
        <v>416</v>
      </c>
      <c r="D31" s="559"/>
    </row>
    <row r="32" spans="1:4" ht="76.5" customHeight="1">
      <c r="A32" s="550"/>
      <c r="B32" s="472" t="s">
        <v>425</v>
      </c>
      <c r="C32" s="562" t="s">
        <v>420</v>
      </c>
      <c r="D32" s="563"/>
    </row>
    <row r="33" spans="1:4" ht="87" customHeight="1">
      <c r="A33" s="551"/>
      <c r="B33" s="485" t="s">
        <v>426</v>
      </c>
      <c r="C33" s="564" t="s">
        <v>409</v>
      </c>
      <c r="D33" s="565"/>
    </row>
    <row r="34" spans="1:4" ht="33.75" customHeight="1">
      <c r="A34" s="550">
        <v>5</v>
      </c>
      <c r="B34" s="471" t="s">
        <v>230</v>
      </c>
      <c r="C34" s="556"/>
      <c r="D34" s="556"/>
    </row>
    <row r="35" spans="1:4" ht="37.5">
      <c r="A35" s="550"/>
      <c r="B35" s="482" t="s">
        <v>467</v>
      </c>
      <c r="C35" s="556" t="s">
        <v>434</v>
      </c>
      <c r="D35" s="556"/>
    </row>
    <row r="36" spans="1:4" ht="93.75">
      <c r="A36" s="550">
        <v>6</v>
      </c>
      <c r="B36" s="471" t="s">
        <v>231</v>
      </c>
      <c r="C36" s="555"/>
      <c r="D36" s="555"/>
    </row>
    <row r="37" spans="1:4" ht="37.5">
      <c r="A37" s="550"/>
      <c r="B37" s="549">
        <v>6.1</v>
      </c>
      <c r="C37" s="472" t="s">
        <v>232</v>
      </c>
      <c r="D37" s="486"/>
    </row>
    <row r="38" spans="1:4" ht="18.75">
      <c r="A38" s="550"/>
      <c r="B38" s="549" t="s">
        <v>468</v>
      </c>
      <c r="C38" s="472" t="s">
        <v>233</v>
      </c>
      <c r="D38" s="552" t="s">
        <v>318</v>
      </c>
    </row>
    <row r="39" spans="1:4" ht="18.75">
      <c r="A39" s="550"/>
      <c r="B39" s="549" t="s">
        <v>469</v>
      </c>
      <c r="C39" s="472" t="s">
        <v>234</v>
      </c>
      <c r="D39" s="553"/>
    </row>
    <row r="40" spans="1:4" ht="18.75">
      <c r="A40" s="550"/>
      <c r="B40" s="549" t="s">
        <v>470</v>
      </c>
      <c r="C40" s="472" t="s">
        <v>235</v>
      </c>
      <c r="D40" s="554"/>
    </row>
    <row r="41" spans="1:4" ht="18.75">
      <c r="A41" s="550"/>
      <c r="B41" s="549" t="s">
        <v>471</v>
      </c>
      <c r="C41" s="472" t="s">
        <v>319</v>
      </c>
      <c r="D41" s="487" t="s">
        <v>320</v>
      </c>
    </row>
    <row r="42" spans="1:4" ht="18.75">
      <c r="A42" s="550"/>
      <c r="B42" s="482"/>
      <c r="C42" s="555"/>
      <c r="D42" s="555"/>
    </row>
    <row r="43" spans="1:4" ht="18.75">
      <c r="A43" s="550">
        <v>7</v>
      </c>
      <c r="B43" s="472" t="s">
        <v>236</v>
      </c>
      <c r="C43" s="555"/>
      <c r="D43" s="555"/>
    </row>
    <row r="44" spans="1:4" ht="56.25">
      <c r="A44" s="550"/>
      <c r="B44" s="549">
        <v>7.1</v>
      </c>
      <c r="C44" s="472" t="s">
        <v>431</v>
      </c>
      <c r="D44" s="471" t="s">
        <v>321</v>
      </c>
    </row>
    <row r="45" spans="1:4" ht="18.75">
      <c r="A45" s="550"/>
      <c r="B45" s="548"/>
      <c r="C45" s="472" t="s">
        <v>326</v>
      </c>
      <c r="D45" s="471" t="s">
        <v>322</v>
      </c>
    </row>
    <row r="46" spans="1:4" ht="37.5">
      <c r="A46" s="550">
        <v>8</v>
      </c>
      <c r="B46" s="471" t="s">
        <v>237</v>
      </c>
      <c r="C46" s="472"/>
      <c r="D46" s="472"/>
    </row>
    <row r="47" spans="1:4" ht="18.75">
      <c r="A47" s="550"/>
      <c r="B47" s="549">
        <v>8.1</v>
      </c>
      <c r="C47" s="472" t="s">
        <v>238</v>
      </c>
      <c r="D47" s="472" t="s">
        <v>401</v>
      </c>
    </row>
    <row r="48" spans="1:4" ht="38.25" customHeight="1">
      <c r="A48" s="550"/>
      <c r="B48" s="549">
        <v>8.1999999999999993</v>
      </c>
      <c r="C48" s="478" t="s">
        <v>239</v>
      </c>
      <c r="D48" s="472" t="s">
        <v>402</v>
      </c>
    </row>
    <row r="49" spans="1:4" ht="18.75">
      <c r="A49" s="550"/>
      <c r="B49" s="549">
        <v>8.3000000000000007</v>
      </c>
      <c r="C49" s="472" t="s">
        <v>244</v>
      </c>
      <c r="D49" s="472" t="s">
        <v>403</v>
      </c>
    </row>
    <row r="50" spans="1:4" ht="75">
      <c r="A50" s="550">
        <v>9</v>
      </c>
      <c r="B50" s="471" t="s">
        <v>240</v>
      </c>
      <c r="C50" s="488"/>
      <c r="D50" s="472" t="s">
        <v>404</v>
      </c>
    </row>
    <row r="51" spans="1:4" ht="37.5">
      <c r="A51" s="550">
        <v>10</v>
      </c>
      <c r="B51" s="471" t="s">
        <v>241</v>
      </c>
      <c r="C51" s="488"/>
      <c r="D51" s="472" t="s">
        <v>408</v>
      </c>
    </row>
    <row r="52" spans="1:4" ht="37.5">
      <c r="A52" s="550">
        <v>11</v>
      </c>
      <c r="B52" s="471" t="s">
        <v>242</v>
      </c>
      <c r="C52" s="472"/>
      <c r="D52" s="481" t="s">
        <v>435</v>
      </c>
    </row>
    <row r="53" spans="1:4" ht="58.5" customHeight="1">
      <c r="A53" s="550">
        <v>12</v>
      </c>
      <c r="B53" s="471" t="s">
        <v>243</v>
      </c>
      <c r="C53" s="472"/>
      <c r="D53" s="478" t="s">
        <v>432</v>
      </c>
    </row>
    <row r="54" spans="1:4" ht="39" customHeight="1">
      <c r="A54" s="550">
        <v>13</v>
      </c>
      <c r="B54" s="471" t="s">
        <v>472</v>
      </c>
      <c r="C54" s="482"/>
      <c r="D54" s="483" t="s">
        <v>473</v>
      </c>
    </row>
    <row r="55" spans="1:4" ht="18.75">
      <c r="A55" s="470"/>
      <c r="B55" s="473"/>
      <c r="C55" s="473"/>
      <c r="D55" s="473"/>
    </row>
    <row r="56" spans="1:4" ht="18.75">
      <c r="A56" s="265"/>
      <c r="B56" s="474"/>
      <c r="C56" s="475"/>
      <c r="D56" s="475"/>
    </row>
    <row r="57" spans="1:4" ht="37.5" customHeight="1">
      <c r="B57" s="476"/>
      <c r="C57" s="477"/>
      <c r="D57" s="477"/>
    </row>
  </sheetData>
  <mergeCells count="39">
    <mergeCell ref="C33:D33"/>
    <mergeCell ref="C34:D34"/>
    <mergeCell ref="C36:D36"/>
    <mergeCell ref="C35:D35"/>
    <mergeCell ref="C24:D24"/>
    <mergeCell ref="C21:D21"/>
    <mergeCell ref="C26:D26"/>
    <mergeCell ref="C27:D27"/>
    <mergeCell ref="C32:D32"/>
    <mergeCell ref="C28:D28"/>
    <mergeCell ref="C29:D29"/>
    <mergeCell ref="C30:D30"/>
    <mergeCell ref="C31:D31"/>
    <mergeCell ref="C7:D7"/>
    <mergeCell ref="C8:D8"/>
    <mergeCell ref="C9:D9"/>
    <mergeCell ref="C10:D10"/>
    <mergeCell ref="C3:D3"/>
    <mergeCell ref="B1:D1"/>
    <mergeCell ref="C2:D2"/>
    <mergeCell ref="C4:D4"/>
    <mergeCell ref="C5:D5"/>
    <mergeCell ref="C6:D6"/>
    <mergeCell ref="D38:D40"/>
    <mergeCell ref="C42:D42"/>
    <mergeCell ref="C43:D43"/>
    <mergeCell ref="C11:D11"/>
    <mergeCell ref="C12:D12"/>
    <mergeCell ref="C13:D13"/>
    <mergeCell ref="C14:D14"/>
    <mergeCell ref="C15:D15"/>
    <mergeCell ref="C16:D16"/>
    <mergeCell ref="C17:D17"/>
    <mergeCell ref="C18:D18"/>
    <mergeCell ref="C19:D19"/>
    <mergeCell ref="C23:D23"/>
    <mergeCell ref="C25:D25"/>
    <mergeCell ref="C22:D22"/>
    <mergeCell ref="C20:D20"/>
  </mergeCells>
  <printOptions horizontalCentered="1"/>
  <pageMargins left="0.56000000000000005" right="0.24" top="0.64" bottom="0.41" header="0.3" footer="0.3"/>
  <pageSetup paperSize="9" scale="70" orientation="portrait" r:id="rId1"/>
  <rowBreaks count="2" manualBreakCount="2">
    <brk id="20" max="3" man="1"/>
    <brk id="32"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1"/>
  <sheetViews>
    <sheetView topLeftCell="A41" workbookViewId="0">
      <selection activeCell="K46" sqref="K46"/>
    </sheetView>
  </sheetViews>
  <sheetFormatPr defaultRowHeight="15.75"/>
  <cols>
    <col min="1" max="1" width="4" style="40" customWidth="1"/>
    <col min="2" max="2" width="8.85546875" style="40" bestFit="1" customWidth="1"/>
    <col min="3" max="3" width="42.42578125" style="40" customWidth="1"/>
    <col min="4" max="4" width="5.5703125" style="40" customWidth="1"/>
    <col min="5" max="5" width="6.140625" style="40" bestFit="1" customWidth="1"/>
    <col min="6" max="6" width="6.140625" style="41" bestFit="1" customWidth="1"/>
    <col min="7" max="7" width="7.85546875" style="40" bestFit="1" customWidth="1"/>
    <col min="8" max="8" width="10.7109375" style="41" bestFit="1" customWidth="1"/>
    <col min="9" max="9" width="5.7109375" style="42" bestFit="1" customWidth="1"/>
    <col min="10" max="10" width="8.42578125" style="43" bestFit="1" customWidth="1"/>
    <col min="11" max="11" width="9.5703125" style="43" bestFit="1" customWidth="1"/>
    <col min="12" max="12" width="9.5703125" style="30" customWidth="1"/>
    <col min="13" max="13" width="9.5703125" style="39" bestFit="1" customWidth="1"/>
    <col min="14" max="14" width="9" style="39" bestFit="1" customWidth="1"/>
    <col min="15" max="16384" width="9.140625" style="7"/>
  </cols>
  <sheetData>
    <row r="1" spans="1:14" ht="15.75" customHeight="1">
      <c r="A1" s="712" t="s">
        <v>57</v>
      </c>
      <c r="B1" s="713"/>
      <c r="C1" s="713"/>
      <c r="D1" s="713"/>
      <c r="E1" s="713"/>
      <c r="F1" s="713"/>
      <c r="G1" s="713"/>
      <c r="H1" s="713"/>
      <c r="I1" s="713"/>
      <c r="J1" s="713"/>
      <c r="K1" s="713"/>
      <c r="L1" s="713"/>
      <c r="M1" s="713"/>
      <c r="N1" s="714"/>
    </row>
    <row r="2" spans="1:14" ht="15.75" customHeight="1">
      <c r="A2" s="708" t="s">
        <v>131</v>
      </c>
      <c r="B2" s="708"/>
      <c r="C2" s="708"/>
      <c r="D2" s="708"/>
      <c r="E2" s="708"/>
      <c r="F2" s="708"/>
      <c r="G2" s="708"/>
      <c r="H2" s="708"/>
      <c r="I2" s="715"/>
      <c r="J2" s="715"/>
      <c r="K2" s="709" t="s">
        <v>58</v>
      </c>
      <c r="L2" s="710"/>
      <c r="M2" s="710"/>
      <c r="N2" s="711"/>
    </row>
    <row r="3" spans="1:14" ht="15.75" customHeight="1">
      <c r="A3" s="708" t="s">
        <v>132</v>
      </c>
      <c r="B3" s="708"/>
      <c r="C3" s="708"/>
      <c r="D3" s="708"/>
      <c r="E3" s="708"/>
      <c r="F3" s="708"/>
      <c r="G3" s="709" t="s">
        <v>133</v>
      </c>
      <c r="H3" s="710"/>
      <c r="I3" s="710"/>
      <c r="J3" s="710"/>
      <c r="K3" s="710"/>
      <c r="L3" s="710"/>
      <c r="M3" s="710"/>
      <c r="N3" s="711"/>
    </row>
    <row r="4" spans="1:14" ht="15.75" customHeight="1">
      <c r="A4" s="708" t="s">
        <v>134</v>
      </c>
      <c r="B4" s="708"/>
      <c r="C4" s="708"/>
      <c r="D4" s="708"/>
      <c r="E4" s="708"/>
      <c r="F4" s="708"/>
      <c r="G4" s="709" t="s">
        <v>135</v>
      </c>
      <c r="H4" s="710"/>
      <c r="I4" s="710"/>
      <c r="J4" s="710"/>
      <c r="K4" s="710"/>
      <c r="L4" s="710"/>
      <c r="M4" s="710"/>
      <c r="N4" s="711"/>
    </row>
    <row r="5" spans="1:14" ht="48.75" customHeight="1">
      <c r="A5" s="107" t="s">
        <v>60</v>
      </c>
      <c r="B5" s="107" t="s">
        <v>61</v>
      </c>
      <c r="C5" s="107" t="s">
        <v>62</v>
      </c>
      <c r="D5" s="107" t="s">
        <v>63</v>
      </c>
      <c r="E5" s="107" t="s">
        <v>64</v>
      </c>
      <c r="F5" s="106" t="s">
        <v>59</v>
      </c>
      <c r="G5" s="107" t="s">
        <v>65</v>
      </c>
      <c r="H5" s="106" t="s">
        <v>66</v>
      </c>
      <c r="I5" s="107" t="s">
        <v>67</v>
      </c>
      <c r="J5" s="108" t="s">
        <v>136</v>
      </c>
      <c r="K5" s="108" t="s">
        <v>68</v>
      </c>
      <c r="L5" s="108" t="s">
        <v>69</v>
      </c>
      <c r="M5" s="108" t="s">
        <v>70</v>
      </c>
      <c r="N5" s="108" t="s">
        <v>137</v>
      </c>
    </row>
    <row r="6" spans="1:14" ht="15.75" customHeight="1">
      <c r="A6" s="109">
        <v>1</v>
      </c>
      <c r="B6" s="109"/>
      <c r="C6" s="109">
        <v>2</v>
      </c>
      <c r="D6" s="109">
        <v>3</v>
      </c>
      <c r="E6" s="109">
        <v>4</v>
      </c>
      <c r="F6" s="110">
        <v>5</v>
      </c>
      <c r="G6" s="109">
        <v>6</v>
      </c>
      <c r="H6" s="110">
        <v>7</v>
      </c>
      <c r="I6" s="109">
        <v>8</v>
      </c>
      <c r="J6" s="109">
        <v>9</v>
      </c>
      <c r="K6" s="109">
        <v>10</v>
      </c>
      <c r="L6" s="109">
        <v>11</v>
      </c>
      <c r="M6" s="111">
        <v>12</v>
      </c>
      <c r="N6" s="111">
        <v>13</v>
      </c>
    </row>
    <row r="7" spans="1:14" ht="15.75" customHeight="1">
      <c r="A7" s="112">
        <v>1</v>
      </c>
      <c r="B7" s="112">
        <v>101</v>
      </c>
      <c r="C7" s="702" t="s">
        <v>71</v>
      </c>
      <c r="D7" s="703"/>
      <c r="E7" s="703"/>
      <c r="F7" s="703"/>
      <c r="G7" s="703"/>
      <c r="H7" s="703"/>
      <c r="I7" s="703"/>
      <c r="J7" s="703"/>
      <c r="K7" s="703"/>
      <c r="L7" s="703"/>
      <c r="M7" s="703"/>
      <c r="N7" s="704"/>
    </row>
    <row r="8" spans="1:14" ht="15.75" customHeight="1">
      <c r="A8" s="112"/>
      <c r="B8" s="112"/>
      <c r="C8" s="106"/>
      <c r="D8" s="113">
        <v>1</v>
      </c>
      <c r="E8" s="114">
        <f>+'Boq SW'!G5</f>
        <v>6.2633592204127257</v>
      </c>
      <c r="F8" s="114">
        <f>+'Boq SW'!H5</f>
        <v>0</v>
      </c>
      <c r="G8" s="114"/>
      <c r="H8" s="115">
        <f>F8*E8</f>
        <v>0</v>
      </c>
      <c r="I8" s="116" t="s">
        <v>72</v>
      </c>
      <c r="J8" s="117">
        <v>1.8</v>
      </c>
      <c r="K8" s="118">
        <f>J8*H8</f>
        <v>0</v>
      </c>
      <c r="L8" s="118"/>
      <c r="M8" s="119">
        <f>K8</f>
        <v>0</v>
      </c>
      <c r="N8" s="118"/>
    </row>
    <row r="9" spans="1:14" ht="15.75" customHeight="1">
      <c r="A9" s="120">
        <v>4</v>
      </c>
      <c r="B9" s="120">
        <v>301</v>
      </c>
      <c r="C9" s="702" t="s">
        <v>138</v>
      </c>
      <c r="D9" s="703"/>
      <c r="E9" s="703"/>
      <c r="F9" s="703"/>
      <c r="G9" s="703"/>
      <c r="H9" s="703"/>
      <c r="I9" s="703"/>
      <c r="J9" s="703"/>
      <c r="K9" s="703"/>
      <c r="L9" s="703"/>
      <c r="M9" s="703"/>
      <c r="N9" s="704"/>
    </row>
    <row r="10" spans="1:14" ht="15.75" customHeight="1">
      <c r="A10" s="120"/>
      <c r="B10" s="121"/>
      <c r="C10" s="122" t="s">
        <v>78</v>
      </c>
      <c r="D10" s="123"/>
      <c r="E10" s="123"/>
      <c r="F10" s="123"/>
      <c r="G10" s="124"/>
      <c r="H10" s="125"/>
      <c r="I10" s="126"/>
      <c r="J10" s="113"/>
      <c r="K10" s="118"/>
      <c r="L10" s="118"/>
      <c r="M10" s="127"/>
      <c r="N10" s="111"/>
    </row>
    <row r="11" spans="1:14" ht="15.75" customHeight="1">
      <c r="A11" s="120"/>
      <c r="B11" s="121"/>
      <c r="C11" s="92" t="s">
        <v>157</v>
      </c>
      <c r="D11" s="92">
        <v>1</v>
      </c>
      <c r="E11" s="129">
        <f>+'Boq SW'!G9</f>
        <v>7.4633592204127259</v>
      </c>
      <c r="F11" s="129">
        <f>+'Boq SW'!H9</f>
        <v>0.6</v>
      </c>
      <c r="G11" s="129">
        <f>+'Boq SW'!I9</f>
        <v>0.6</v>
      </c>
      <c r="H11" s="130">
        <f>D11*E11*F11*G11</f>
        <v>2.6868093193485811</v>
      </c>
      <c r="I11" s="116" t="s">
        <v>76</v>
      </c>
      <c r="J11" s="113"/>
      <c r="K11" s="118"/>
      <c r="L11" s="118"/>
      <c r="M11" s="127"/>
      <c r="N11" s="111"/>
    </row>
    <row r="12" spans="1:14" ht="15.75" customHeight="1">
      <c r="A12" s="120"/>
      <c r="B12" s="121"/>
      <c r="C12" s="92" t="s">
        <v>111</v>
      </c>
      <c r="D12" s="92">
        <v>1</v>
      </c>
      <c r="E12" s="129">
        <f>+'Boq SW'!G10</f>
        <v>7.4633592204127259</v>
      </c>
      <c r="F12" s="129">
        <f>+'Boq SW'!H10</f>
        <v>11</v>
      </c>
      <c r="G12" s="129">
        <f>+'Boq SW'!I10</f>
        <v>0.15</v>
      </c>
      <c r="H12" s="130">
        <f>D12*E12*F12*G12</f>
        <v>12.314542713680996</v>
      </c>
      <c r="I12" s="116" t="s">
        <v>76</v>
      </c>
      <c r="J12" s="113"/>
      <c r="K12" s="118"/>
      <c r="L12" s="118"/>
      <c r="M12" s="127"/>
      <c r="N12" s="111"/>
    </row>
    <row r="13" spans="1:14" ht="15.75" customHeight="1">
      <c r="A13" s="120"/>
      <c r="B13" s="121"/>
      <c r="C13" s="92" t="s">
        <v>126</v>
      </c>
      <c r="D13" s="92">
        <v>2</v>
      </c>
      <c r="E13" s="129">
        <f>+'Boq SW'!G11</f>
        <v>19.5</v>
      </c>
      <c r="F13" s="129">
        <f>+'Boq SW'!H11</f>
        <v>0.5</v>
      </c>
      <c r="G13" s="129">
        <f>+'Boq SW'!I11</f>
        <v>0.6</v>
      </c>
      <c r="H13" s="130">
        <f>D13*E13*F13*G13</f>
        <v>11.7</v>
      </c>
      <c r="I13" s="116" t="s">
        <v>76</v>
      </c>
      <c r="J13" s="113"/>
      <c r="K13" s="118"/>
      <c r="L13" s="118"/>
      <c r="M13" s="127"/>
      <c r="N13" s="111"/>
    </row>
    <row r="14" spans="1:14" ht="15.75" customHeight="1">
      <c r="A14" s="112"/>
      <c r="B14" s="112"/>
      <c r="C14" s="131" t="s">
        <v>112</v>
      </c>
      <c r="D14" s="132"/>
      <c r="E14" s="133"/>
      <c r="F14" s="134"/>
      <c r="G14" s="126" t="s">
        <v>82</v>
      </c>
      <c r="H14" s="115">
        <f>SUM(H11:H13)</f>
        <v>26.701352033029579</v>
      </c>
      <c r="I14" s="116" t="s">
        <v>76</v>
      </c>
      <c r="J14" s="117"/>
      <c r="K14" s="114"/>
      <c r="L14" s="114"/>
      <c r="M14" s="114"/>
      <c r="N14" s="111"/>
    </row>
    <row r="15" spans="1:14" ht="15.75" customHeight="1">
      <c r="A15" s="112"/>
      <c r="B15" s="112" t="s">
        <v>139</v>
      </c>
      <c r="C15" s="135" t="s">
        <v>140</v>
      </c>
      <c r="D15" s="136"/>
      <c r="E15" s="137"/>
      <c r="F15" s="138"/>
      <c r="G15" s="139"/>
      <c r="H15" s="115">
        <f>H14*0.7</f>
        <v>18.690946423120703</v>
      </c>
      <c r="I15" s="116" t="s">
        <v>76</v>
      </c>
      <c r="J15" s="117">
        <v>110.3</v>
      </c>
      <c r="K15" s="118">
        <f>J15*H15</f>
        <v>2061.6113904702133</v>
      </c>
      <c r="L15" s="117">
        <v>110.3</v>
      </c>
      <c r="M15" s="118">
        <f>L15*H15</f>
        <v>2061.6113904702133</v>
      </c>
      <c r="N15" s="140">
        <f>K15-M15</f>
        <v>0</v>
      </c>
    </row>
    <row r="16" spans="1:14" ht="15.75" customHeight="1">
      <c r="A16" s="112"/>
      <c r="B16" s="112" t="s">
        <v>141</v>
      </c>
      <c r="C16" s="141" t="s">
        <v>142</v>
      </c>
      <c r="D16" s="142"/>
      <c r="E16" s="143"/>
      <c r="F16" s="144"/>
      <c r="G16" s="145"/>
      <c r="H16" s="146">
        <f>H14*0.3</f>
        <v>8.0104056099088741</v>
      </c>
      <c r="I16" s="147" t="s">
        <v>76</v>
      </c>
      <c r="J16" s="148">
        <v>267.2</v>
      </c>
      <c r="K16" s="149">
        <f>J16*H16</f>
        <v>2140.3803789676513</v>
      </c>
      <c r="L16" s="148">
        <v>267.2</v>
      </c>
      <c r="M16" s="118">
        <f>L16*H16</f>
        <v>2140.3803789676513</v>
      </c>
      <c r="N16" s="140">
        <f>K16-M16</f>
        <v>0</v>
      </c>
    </row>
    <row r="17" spans="1:14" ht="15.75" customHeight="1">
      <c r="A17" s="112"/>
      <c r="B17" s="112"/>
      <c r="C17" s="150"/>
      <c r="D17" s="132"/>
      <c r="E17" s="133"/>
      <c r="F17" s="134"/>
      <c r="G17" s="126"/>
      <c r="H17" s="115"/>
      <c r="I17" s="116"/>
      <c r="J17" s="117"/>
      <c r="K17" s="118">
        <f>SUM(K15:K16)</f>
        <v>4201.9917694378646</v>
      </c>
      <c r="L17" s="118"/>
      <c r="M17" s="118">
        <f>SUM(M15:M16)</f>
        <v>4201.9917694378646</v>
      </c>
      <c r="N17" s="140">
        <f>K17-M17</f>
        <v>0</v>
      </c>
    </row>
    <row r="18" spans="1:14" ht="15.75" customHeight="1">
      <c r="A18" s="112">
        <v>5</v>
      </c>
      <c r="B18" s="151">
        <v>304</v>
      </c>
      <c r="C18" s="702" t="s">
        <v>143</v>
      </c>
      <c r="D18" s="703"/>
      <c r="E18" s="703"/>
      <c r="F18" s="703"/>
      <c r="G18" s="703"/>
      <c r="H18" s="703"/>
      <c r="I18" s="703"/>
      <c r="J18" s="703"/>
      <c r="K18" s="703"/>
      <c r="L18" s="703"/>
      <c r="M18" s="703"/>
      <c r="N18" s="704"/>
    </row>
    <row r="19" spans="1:14" ht="15.75" customHeight="1">
      <c r="A19" s="112"/>
      <c r="B19" s="112"/>
      <c r="C19" s="152" t="s">
        <v>114</v>
      </c>
      <c r="D19" s="113">
        <v>1</v>
      </c>
      <c r="E19" s="114"/>
      <c r="F19" s="153"/>
      <c r="G19" s="114"/>
      <c r="H19" s="154">
        <f>+'Boq SW'!J15</f>
        <v>17.221658078368812</v>
      </c>
      <c r="I19" s="116" t="s">
        <v>81</v>
      </c>
      <c r="J19" s="117">
        <v>110.3</v>
      </c>
      <c r="K19" s="118">
        <f>H19*J19</f>
        <v>1899.5488860440798</v>
      </c>
      <c r="L19" s="118">
        <f>J19</f>
        <v>110.3</v>
      </c>
      <c r="M19" s="118">
        <f>L19*H19</f>
        <v>1899.5488860440798</v>
      </c>
      <c r="N19" s="140">
        <f>K19-M19</f>
        <v>0</v>
      </c>
    </row>
    <row r="20" spans="1:14" ht="32.25" customHeight="1">
      <c r="A20" s="112">
        <v>6</v>
      </c>
      <c r="B20" s="112" t="s">
        <v>144</v>
      </c>
      <c r="C20" s="702" t="s">
        <v>145</v>
      </c>
      <c r="D20" s="703"/>
      <c r="E20" s="703"/>
      <c r="F20" s="703"/>
      <c r="G20" s="703"/>
      <c r="H20" s="703"/>
      <c r="I20" s="703"/>
      <c r="J20" s="703"/>
      <c r="K20" s="703"/>
      <c r="L20" s="703"/>
      <c r="M20" s="703"/>
      <c r="N20" s="704"/>
    </row>
    <row r="21" spans="1:14" ht="18.75" customHeight="1">
      <c r="A21" s="112"/>
      <c r="B21" s="112"/>
      <c r="C21" s="92" t="s">
        <v>158</v>
      </c>
      <c r="D21" s="128">
        <v>1</v>
      </c>
      <c r="E21" s="129">
        <f>+'Boq SW'!G17</f>
        <v>7.4633592204127259</v>
      </c>
      <c r="F21" s="129">
        <f>+'Boq SW'!H17</f>
        <v>0.6</v>
      </c>
      <c r="G21" s="129">
        <f>+'Boq SW'!I17</f>
        <v>0.1</v>
      </c>
      <c r="H21" s="130">
        <f>+G21*F21*E21*D21</f>
        <v>0.44780155322476356</v>
      </c>
      <c r="I21" s="116" t="s">
        <v>76</v>
      </c>
      <c r="J21" s="113"/>
      <c r="K21" s="118"/>
      <c r="L21" s="118"/>
      <c r="M21" s="127"/>
      <c r="N21" s="111"/>
    </row>
    <row r="22" spans="1:14" ht="18.75" customHeight="1">
      <c r="A22" s="112"/>
      <c r="B22" s="112"/>
      <c r="C22" s="92" t="s">
        <v>126</v>
      </c>
      <c r="D22" s="128">
        <v>2</v>
      </c>
      <c r="E22" s="129">
        <f>+'Boq SW'!G18</f>
        <v>19.5</v>
      </c>
      <c r="F22" s="129">
        <f>+'Boq SW'!H18</f>
        <v>0.6</v>
      </c>
      <c r="G22" s="129">
        <f>+'Boq SW'!I18</f>
        <v>0.1</v>
      </c>
      <c r="H22" s="130">
        <f>+G22*F22*E22*D22</f>
        <v>2.34</v>
      </c>
      <c r="I22" s="116" t="s">
        <v>76</v>
      </c>
      <c r="J22" s="113"/>
      <c r="K22" s="118"/>
      <c r="L22" s="118"/>
      <c r="M22" s="127"/>
      <c r="N22" s="111"/>
    </row>
    <row r="23" spans="1:14" ht="15.75" customHeight="1">
      <c r="A23" s="112"/>
      <c r="B23" s="112"/>
      <c r="C23" s="92" t="s">
        <v>111</v>
      </c>
      <c r="D23" s="128">
        <v>1</v>
      </c>
      <c r="E23" s="129">
        <f>+'Boq SW'!G19</f>
        <v>7.4633592204127259</v>
      </c>
      <c r="F23" s="129">
        <f>+'Boq SW'!H19</f>
        <v>11</v>
      </c>
      <c r="G23" s="129">
        <f>+'Boq SW'!I19</f>
        <v>0.1</v>
      </c>
      <c r="H23" s="130">
        <f>+G23*F23*E23*D23</f>
        <v>8.2096951424539988</v>
      </c>
      <c r="I23" s="116" t="s">
        <v>76</v>
      </c>
      <c r="J23" s="113"/>
      <c r="K23" s="118"/>
      <c r="L23" s="118"/>
      <c r="M23" s="127"/>
      <c r="N23" s="111"/>
    </row>
    <row r="24" spans="1:14" ht="15.75" customHeight="1">
      <c r="A24" s="112"/>
      <c r="B24" s="156"/>
      <c r="C24" s="157" t="s">
        <v>116</v>
      </c>
      <c r="D24" s="158"/>
      <c r="E24" s="159"/>
      <c r="F24" s="160"/>
      <c r="G24" s="161" t="s">
        <v>82</v>
      </c>
      <c r="H24" s="162">
        <f>SUM(H21:H23)</f>
        <v>10.997496695678763</v>
      </c>
      <c r="I24" s="116" t="s">
        <v>76</v>
      </c>
      <c r="J24" s="117">
        <v>2527</v>
      </c>
      <c r="K24" s="118">
        <f>J24*H24</f>
        <v>27790.674149980234</v>
      </c>
      <c r="L24" s="163">
        <v>498.8</v>
      </c>
      <c r="M24" s="118">
        <f>L24*H24</f>
        <v>5485.5513518045673</v>
      </c>
      <c r="N24" s="140">
        <f>K24-M24</f>
        <v>22305.122798175667</v>
      </c>
    </row>
    <row r="25" spans="1:14" ht="50.25" customHeight="1">
      <c r="A25" s="112">
        <v>8</v>
      </c>
      <c r="B25" s="122" t="s">
        <v>146</v>
      </c>
      <c r="C25" s="700" t="s">
        <v>147</v>
      </c>
      <c r="D25" s="700"/>
      <c r="E25" s="700"/>
      <c r="F25" s="700"/>
      <c r="G25" s="700"/>
      <c r="H25" s="700"/>
      <c r="I25" s="701"/>
      <c r="J25" s="117"/>
      <c r="K25" s="118"/>
      <c r="L25" s="118"/>
      <c r="M25" s="119"/>
      <c r="N25" s="140"/>
    </row>
    <row r="26" spans="1:14" ht="15.75" customHeight="1">
      <c r="A26" s="112"/>
      <c r="B26" s="164"/>
      <c r="C26" s="92" t="s">
        <v>159</v>
      </c>
      <c r="D26" s="165">
        <v>1</v>
      </c>
      <c r="E26" s="166">
        <f>+'Boq SW'!G22</f>
        <v>7.4633592204127259</v>
      </c>
      <c r="F26" s="166">
        <f>+'Boq SW'!H22</f>
        <v>0.5</v>
      </c>
      <c r="G26" s="166">
        <f>+'Boq SW'!I22</f>
        <v>0.6</v>
      </c>
      <c r="H26" s="167">
        <f>+G26*F26*E26*D26</f>
        <v>2.2390077661238177</v>
      </c>
      <c r="I26" s="116" t="s">
        <v>76</v>
      </c>
      <c r="J26" s="117"/>
      <c r="K26" s="118"/>
      <c r="L26" s="118"/>
      <c r="M26" s="127"/>
      <c r="N26" s="140"/>
    </row>
    <row r="27" spans="1:14" ht="15.75" customHeight="1">
      <c r="A27" s="112"/>
      <c r="B27" s="164"/>
      <c r="C27" s="92" t="s">
        <v>126</v>
      </c>
      <c r="D27" s="165">
        <v>2</v>
      </c>
      <c r="E27" s="166">
        <f>+'Boq SW'!G23</f>
        <v>19.5</v>
      </c>
      <c r="F27" s="166">
        <f>+'Boq SW'!H23</f>
        <v>0.5</v>
      </c>
      <c r="G27" s="166">
        <f>+'Boq SW'!I23</f>
        <v>0.95</v>
      </c>
      <c r="H27" s="167">
        <f>+G27*F27*E27*D27</f>
        <v>18.524999999999999</v>
      </c>
      <c r="I27" s="116" t="s">
        <v>76</v>
      </c>
      <c r="J27" s="117"/>
      <c r="K27" s="118"/>
      <c r="L27" s="118"/>
      <c r="M27" s="127"/>
      <c r="N27" s="140"/>
    </row>
    <row r="28" spans="1:14" ht="15.75" customHeight="1">
      <c r="A28" s="112"/>
      <c r="B28" s="164"/>
      <c r="C28" s="92" t="s">
        <v>111</v>
      </c>
      <c r="D28" s="165">
        <v>1</v>
      </c>
      <c r="E28" s="166">
        <f>+'Boq SW'!G24</f>
        <v>7.4633592204127259</v>
      </c>
      <c r="F28" s="166">
        <f>+'Boq SW'!H24</f>
        <v>11</v>
      </c>
      <c r="G28" s="166">
        <f>+'Boq SW'!I24</f>
        <v>7.4999999999999997E-2</v>
      </c>
      <c r="H28" s="167">
        <f>+G28*F28*E28*D28</f>
        <v>6.1572713568404982</v>
      </c>
      <c r="I28" s="116" t="s">
        <v>76</v>
      </c>
      <c r="J28" s="117"/>
      <c r="K28" s="118"/>
      <c r="L28" s="118"/>
      <c r="M28" s="127"/>
      <c r="N28" s="140"/>
    </row>
    <row r="29" spans="1:14" ht="15.75" customHeight="1">
      <c r="A29" s="112"/>
      <c r="B29" s="112"/>
      <c r="C29" s="135"/>
      <c r="D29" s="113"/>
      <c r="E29" s="114"/>
      <c r="F29" s="153"/>
      <c r="G29" s="114"/>
      <c r="H29" s="115">
        <f>SUM(H26:H28)</f>
        <v>26.921279122964314</v>
      </c>
      <c r="I29" s="116" t="s">
        <v>76</v>
      </c>
      <c r="J29" s="117">
        <v>3731.2</v>
      </c>
      <c r="K29" s="118">
        <f>J29*H29</f>
        <v>100448.67666360445</v>
      </c>
      <c r="L29" s="163">
        <v>656.6</v>
      </c>
      <c r="M29" s="118">
        <f>L29*H29</f>
        <v>17676.51187213837</v>
      </c>
      <c r="N29" s="140">
        <f>K29-M29</f>
        <v>82772.164791466086</v>
      </c>
    </row>
    <row r="30" spans="1:14">
      <c r="A30" s="112">
        <v>12</v>
      </c>
      <c r="B30" s="122">
        <v>1007</v>
      </c>
      <c r="C30" s="702" t="s">
        <v>148</v>
      </c>
      <c r="D30" s="703"/>
      <c r="E30" s="703"/>
      <c r="F30" s="703"/>
      <c r="G30" s="704"/>
      <c r="H30" s="115"/>
      <c r="I30" s="116"/>
      <c r="J30" s="117"/>
      <c r="K30" s="118"/>
      <c r="L30" s="118"/>
      <c r="M30" s="127"/>
      <c r="N30" s="140"/>
    </row>
    <row r="31" spans="1:14">
      <c r="A31" s="112"/>
      <c r="B31" s="169" t="s">
        <v>149</v>
      </c>
      <c r="C31" s="170" t="s">
        <v>150</v>
      </c>
      <c r="D31" s="128"/>
      <c r="E31" s="128"/>
      <c r="F31" s="171"/>
      <c r="G31" s="114"/>
      <c r="H31" s="115"/>
      <c r="I31" s="116"/>
      <c r="J31" s="117"/>
      <c r="K31" s="118"/>
      <c r="L31" s="118"/>
      <c r="M31" s="127"/>
      <c r="N31" s="140"/>
    </row>
    <row r="32" spans="1:14">
      <c r="A32" s="112"/>
      <c r="B32" s="112"/>
      <c r="C32" s="92" t="s">
        <v>120</v>
      </c>
      <c r="D32" s="128">
        <f>+'Boq SW'!F27</f>
        <v>0</v>
      </c>
      <c r="E32" s="128">
        <f>+'Boq SW'!G27</f>
        <v>0</v>
      </c>
      <c r="F32" s="128">
        <f>+'Boq SW'!H27</f>
        <v>0</v>
      </c>
      <c r="G32" s="128"/>
      <c r="H32" s="115">
        <f>+F32*E32*D32</f>
        <v>0</v>
      </c>
      <c r="I32" s="116" t="s">
        <v>72</v>
      </c>
      <c r="J32" s="117"/>
      <c r="K32" s="118"/>
      <c r="L32" s="118"/>
      <c r="M32" s="127"/>
      <c r="N32" s="140"/>
    </row>
    <row r="33" spans="1:14">
      <c r="A33" s="112"/>
      <c r="B33" s="112"/>
      <c r="C33" s="92" t="s">
        <v>121</v>
      </c>
      <c r="D33" s="128">
        <f>+'Boq SW'!F28</f>
        <v>2</v>
      </c>
      <c r="E33" s="128">
        <f>+'Boq SW'!G28</f>
        <v>7.4633592204127259</v>
      </c>
      <c r="F33" s="128">
        <f>+'Boq SW'!H28</f>
        <v>0.3</v>
      </c>
      <c r="G33" s="128"/>
      <c r="H33" s="115">
        <f>+F33*E33*D33</f>
        <v>4.4780155322476354</v>
      </c>
      <c r="I33" s="116" t="s">
        <v>72</v>
      </c>
      <c r="J33" s="117"/>
      <c r="K33" s="118"/>
      <c r="L33" s="118"/>
      <c r="M33" s="127"/>
      <c r="N33" s="140"/>
    </row>
    <row r="34" spans="1:14">
      <c r="A34" s="112"/>
      <c r="B34" s="112"/>
      <c r="C34" s="92" t="s">
        <v>122</v>
      </c>
      <c r="D34" s="128">
        <f>+'Boq SW'!F29</f>
        <v>2</v>
      </c>
      <c r="E34" s="128">
        <f>+'Boq SW'!G29</f>
        <v>19.5</v>
      </c>
      <c r="F34" s="128">
        <f>+'Boq SW'!H29</f>
        <v>0.95</v>
      </c>
      <c r="G34" s="128"/>
      <c r="H34" s="115">
        <f>+F34*E34*D34</f>
        <v>37.049999999999997</v>
      </c>
      <c r="I34" s="116" t="s">
        <v>72</v>
      </c>
      <c r="J34" s="117"/>
      <c r="K34" s="118"/>
      <c r="L34" s="118"/>
      <c r="M34" s="127"/>
      <c r="N34" s="140"/>
    </row>
    <row r="35" spans="1:14">
      <c r="A35" s="112"/>
      <c r="B35" s="112"/>
      <c r="C35" s="92" t="s">
        <v>128</v>
      </c>
      <c r="D35" s="128">
        <f>+'Boq SW'!F30</f>
        <v>2</v>
      </c>
      <c r="E35" s="128">
        <f>+'Boq SW'!G30</f>
        <v>6</v>
      </c>
      <c r="F35" s="128">
        <f>+'Boq SW'!H30</f>
        <v>0.5</v>
      </c>
      <c r="G35" s="128"/>
      <c r="H35" s="115">
        <f>+F35*E35*D35</f>
        <v>6</v>
      </c>
      <c r="I35" s="116" t="s">
        <v>72</v>
      </c>
      <c r="J35" s="117"/>
      <c r="K35" s="118"/>
      <c r="L35" s="118"/>
      <c r="M35" s="127"/>
      <c r="N35" s="140"/>
    </row>
    <row r="36" spans="1:14">
      <c r="A36" s="112"/>
      <c r="B36" s="112"/>
      <c r="C36" s="92" t="s">
        <v>129</v>
      </c>
      <c r="D36" s="128">
        <f>+'Boq SW'!F31</f>
        <v>1</v>
      </c>
      <c r="E36" s="128">
        <f>+'Boq SW'!G31</f>
        <v>7.4633592204127259</v>
      </c>
      <c r="F36" s="128">
        <f>+'Boq SW'!H31</f>
        <v>0.5</v>
      </c>
      <c r="G36" s="128"/>
      <c r="H36" s="115">
        <f>+F36*E36*D36</f>
        <v>3.731679610206363</v>
      </c>
      <c r="I36" s="116" t="s">
        <v>72</v>
      </c>
      <c r="J36" s="117"/>
      <c r="K36" s="118"/>
      <c r="L36" s="118"/>
      <c r="M36" s="127"/>
      <c r="N36" s="140"/>
    </row>
    <row r="37" spans="1:14">
      <c r="A37" s="112"/>
      <c r="B37" s="112"/>
      <c r="C37" s="172" t="s">
        <v>119</v>
      </c>
      <c r="D37" s="173"/>
      <c r="E37" s="174"/>
      <c r="F37" s="175"/>
      <c r="G37" s="114"/>
      <c r="H37" s="115">
        <f>SUM(H32:H36)</f>
        <v>51.259695142453999</v>
      </c>
      <c r="I37" s="116" t="s">
        <v>72</v>
      </c>
      <c r="J37" s="117">
        <v>103.9</v>
      </c>
      <c r="K37" s="118">
        <f>J37*H37</f>
        <v>5325.8823253009705</v>
      </c>
      <c r="L37" s="117">
        <v>44.5</v>
      </c>
      <c r="M37" s="118">
        <f>L37*H37</f>
        <v>2281.0564338392028</v>
      </c>
      <c r="N37" s="140">
        <f>K37-M37</f>
        <v>3044.8258914617677</v>
      </c>
    </row>
    <row r="38" spans="1:14" ht="31.5">
      <c r="A38" s="112">
        <v>14</v>
      </c>
      <c r="B38" s="112" t="s">
        <v>151</v>
      </c>
      <c r="C38" s="705" t="s">
        <v>152</v>
      </c>
      <c r="D38" s="706"/>
      <c r="E38" s="706"/>
      <c r="F38" s="706"/>
      <c r="G38" s="706"/>
      <c r="H38" s="706"/>
      <c r="I38" s="706"/>
      <c r="J38" s="706"/>
      <c r="K38" s="706"/>
      <c r="L38" s="706"/>
      <c r="M38" s="706"/>
      <c r="N38" s="707"/>
    </row>
    <row r="39" spans="1:14">
      <c r="A39" s="112"/>
      <c r="B39" s="112"/>
      <c r="C39" s="168" t="s">
        <v>124</v>
      </c>
      <c r="D39" s="113"/>
      <c r="E39" s="114"/>
      <c r="F39" s="153"/>
      <c r="G39" s="114"/>
      <c r="H39" s="115"/>
      <c r="I39" s="116"/>
      <c r="J39" s="117"/>
      <c r="K39" s="118"/>
      <c r="L39" s="118"/>
      <c r="M39" s="119"/>
      <c r="N39" s="140"/>
    </row>
    <row r="40" spans="1:14">
      <c r="A40" s="112"/>
      <c r="B40" s="112"/>
      <c r="C40" s="92" t="s">
        <v>159</v>
      </c>
      <c r="D40" s="155">
        <f>+'Boq SW'!F34</f>
        <v>2</v>
      </c>
      <c r="E40" s="155">
        <f>+'Boq SW'!G34</f>
        <v>7.4633592204127259</v>
      </c>
      <c r="F40" s="155">
        <f>+'Boq SW'!H34</f>
        <v>0</v>
      </c>
      <c r="G40" s="155">
        <f>+'Boq SW'!I34</f>
        <v>0.6</v>
      </c>
      <c r="H40" s="115">
        <f>D40*E40*G40</f>
        <v>8.9560310644952708</v>
      </c>
      <c r="I40" s="116" t="s">
        <v>72</v>
      </c>
      <c r="J40" s="117"/>
      <c r="K40" s="118"/>
      <c r="L40" s="118"/>
      <c r="M40" s="119"/>
      <c r="N40" s="140"/>
    </row>
    <row r="41" spans="1:14">
      <c r="A41" s="112"/>
      <c r="B41" s="112"/>
      <c r="C41" s="92" t="s">
        <v>126</v>
      </c>
      <c r="D41" s="155">
        <f>+'Boq SW'!F35</f>
        <v>4</v>
      </c>
      <c r="E41" s="155">
        <f>+'Boq SW'!G35</f>
        <v>6</v>
      </c>
      <c r="F41" s="155">
        <f>+'Boq SW'!H35</f>
        <v>0</v>
      </c>
      <c r="G41" s="155">
        <f>+'Boq SW'!I35</f>
        <v>0.95</v>
      </c>
      <c r="H41" s="115">
        <f>D41*E41*G41</f>
        <v>22.799999999999997</v>
      </c>
      <c r="I41" s="116" t="s">
        <v>72</v>
      </c>
      <c r="J41" s="117"/>
      <c r="K41" s="118"/>
      <c r="L41" s="118"/>
      <c r="M41" s="119"/>
      <c r="N41" s="140"/>
    </row>
    <row r="42" spans="1:14">
      <c r="A42" s="112"/>
      <c r="B42" s="112"/>
      <c r="C42" s="92" t="s">
        <v>111</v>
      </c>
      <c r="D42" s="155">
        <f>+'Boq SW'!F36</f>
        <v>2</v>
      </c>
      <c r="E42" s="155">
        <f>+'Boq SW'!G36</f>
        <v>11</v>
      </c>
      <c r="F42" s="155">
        <f>+'Boq SW'!H36</f>
        <v>0</v>
      </c>
      <c r="G42" s="155">
        <f>+'Boq SW'!I36</f>
        <v>0.15</v>
      </c>
      <c r="H42" s="115">
        <f>D42*E42*G42</f>
        <v>3.3</v>
      </c>
      <c r="I42" s="116" t="s">
        <v>72</v>
      </c>
      <c r="J42" s="117"/>
      <c r="K42" s="118"/>
      <c r="L42" s="118"/>
      <c r="M42" s="119"/>
      <c r="N42" s="140"/>
    </row>
    <row r="43" spans="1:14">
      <c r="A43" s="112"/>
      <c r="B43" s="112"/>
      <c r="C43" s="92" t="s">
        <v>130</v>
      </c>
      <c r="D43" s="155">
        <f>+'Boq SW'!F37</f>
        <v>4</v>
      </c>
      <c r="E43" s="155">
        <f>+'Boq SW'!G37</f>
        <v>0.6</v>
      </c>
      <c r="F43" s="155">
        <f>+'Boq SW'!H37</f>
        <v>0</v>
      </c>
      <c r="G43" s="155">
        <f>+'Boq SW'!I37</f>
        <v>0.5</v>
      </c>
      <c r="H43" s="115">
        <f>D43*E43*G43</f>
        <v>1.2</v>
      </c>
      <c r="I43" s="116" t="s">
        <v>72</v>
      </c>
      <c r="J43" s="117"/>
      <c r="K43" s="118"/>
      <c r="L43" s="118"/>
      <c r="M43" s="119"/>
      <c r="N43" s="140"/>
    </row>
    <row r="44" spans="1:14">
      <c r="A44" s="112"/>
      <c r="B44" s="112"/>
      <c r="C44" s="168" t="s">
        <v>125</v>
      </c>
      <c r="D44" s="113"/>
      <c r="E44" s="114"/>
      <c r="F44" s="153"/>
      <c r="G44" s="114"/>
      <c r="H44" s="115">
        <f>SUM(H40:H43)</f>
        <v>36.256031064495268</v>
      </c>
      <c r="I44" s="116" t="s">
        <v>72</v>
      </c>
      <c r="J44" s="117">
        <v>211</v>
      </c>
      <c r="K44" s="118">
        <f>J44*H44</f>
        <v>7650.0225546085012</v>
      </c>
      <c r="L44" s="117">
        <v>60.2</v>
      </c>
      <c r="M44" s="118">
        <f>L44*H44</f>
        <v>2182.6130700826152</v>
      </c>
      <c r="N44" s="140">
        <f>K44-M44</f>
        <v>5467.409484525886</v>
      </c>
    </row>
    <row r="45" spans="1:14" ht="36.75" customHeight="1">
      <c r="A45" s="112"/>
      <c r="B45" s="112"/>
      <c r="C45" s="702"/>
      <c r="D45" s="703"/>
      <c r="E45" s="703"/>
      <c r="F45" s="703"/>
      <c r="G45" s="703"/>
      <c r="H45" s="703"/>
      <c r="I45" s="703"/>
      <c r="J45" s="703"/>
      <c r="K45" s="703"/>
      <c r="L45" s="703"/>
      <c r="M45" s="703"/>
      <c r="N45" s="704"/>
    </row>
    <row r="46" spans="1:14">
      <c r="A46" s="112"/>
      <c r="B46" s="112"/>
      <c r="C46" s="168" t="s">
        <v>160</v>
      </c>
      <c r="D46" s="176"/>
      <c r="E46" s="166"/>
      <c r="F46" s="166"/>
      <c r="G46" s="166"/>
      <c r="H46" s="114"/>
      <c r="I46" s="116"/>
      <c r="J46" s="117"/>
      <c r="K46" s="118"/>
      <c r="L46" s="117"/>
      <c r="M46" s="118"/>
      <c r="N46" s="119"/>
    </row>
    <row r="47" spans="1:14">
      <c r="A47" s="112"/>
      <c r="B47" s="112"/>
      <c r="C47" s="655" t="s">
        <v>153</v>
      </c>
      <c r="D47" s="655"/>
      <c r="E47" s="655"/>
      <c r="F47" s="655"/>
      <c r="G47" s="655"/>
      <c r="H47" s="655"/>
      <c r="I47" s="655"/>
      <c r="J47" s="117"/>
      <c r="K47" s="118">
        <f>SUM(K7:K46)</f>
        <v>151518.78811841397</v>
      </c>
      <c r="L47" s="118"/>
      <c r="M47" s="118">
        <f>SUM(M7:M46)</f>
        <v>37929.265152784559</v>
      </c>
      <c r="N47" s="118">
        <f>SUM(N7:N46)</f>
        <v>113589.5229656294</v>
      </c>
    </row>
    <row r="48" spans="1:14" ht="28.5" customHeight="1">
      <c r="A48" s="112">
        <v>1</v>
      </c>
      <c r="B48" s="112"/>
      <c r="C48" s="696" t="s">
        <v>154</v>
      </c>
      <c r="D48" s="697"/>
      <c r="E48" s="697"/>
      <c r="F48" s="697"/>
      <c r="G48" s="697"/>
      <c r="H48" s="118">
        <f>K47/159</f>
        <v>952.94835294599977</v>
      </c>
      <c r="I48" s="177"/>
      <c r="J48" s="107"/>
      <c r="K48" s="119">
        <f>H48*13</f>
        <v>12388.328588297996</v>
      </c>
      <c r="L48" s="119"/>
      <c r="M48" s="119">
        <f>K48</f>
        <v>12388.328588297996</v>
      </c>
      <c r="N48" s="140"/>
    </row>
    <row r="49" spans="1:16" ht="18.75" customHeight="1">
      <c r="A49" s="112">
        <v>2</v>
      </c>
      <c r="B49" s="112"/>
      <c r="C49" s="122" t="s">
        <v>83</v>
      </c>
      <c r="D49" s="123"/>
      <c r="E49" s="123"/>
      <c r="F49" s="123"/>
      <c r="G49" s="124"/>
      <c r="H49" s="114">
        <f>(K47+K48)/159/50</f>
        <v>20.617247384492071</v>
      </c>
      <c r="I49" s="116" t="s">
        <v>84</v>
      </c>
      <c r="J49" s="117">
        <v>197</v>
      </c>
      <c r="K49" s="114">
        <f>H49*J49</f>
        <v>4061.597734744938</v>
      </c>
      <c r="L49" s="118"/>
      <c r="M49" s="127"/>
      <c r="N49" s="140">
        <f>K49</f>
        <v>4061.597734744938</v>
      </c>
    </row>
    <row r="50" spans="1:16" ht="18.75" customHeight="1">
      <c r="A50" s="112">
        <v>3</v>
      </c>
      <c r="B50" s="112"/>
      <c r="C50" s="122" t="s">
        <v>85</v>
      </c>
      <c r="D50" s="123"/>
      <c r="E50" s="123"/>
      <c r="F50" s="123"/>
      <c r="G50" s="124"/>
      <c r="H50" s="114">
        <f>H49</f>
        <v>20.617247384492071</v>
      </c>
      <c r="I50" s="116" t="s">
        <v>84</v>
      </c>
      <c r="J50" s="117">
        <v>172</v>
      </c>
      <c r="K50" s="114">
        <f>J50*H50</f>
        <v>3546.1665501326361</v>
      </c>
      <c r="L50" s="118"/>
      <c r="M50" s="119">
        <f>K50</f>
        <v>3546.1665501326361</v>
      </c>
      <c r="N50" s="111"/>
    </row>
    <row r="51" spans="1:16" ht="36" customHeight="1">
      <c r="A51" s="112">
        <v>4</v>
      </c>
      <c r="B51" s="112"/>
      <c r="C51" s="122" t="s">
        <v>86</v>
      </c>
      <c r="D51" s="123"/>
      <c r="E51" s="123"/>
      <c r="F51" s="123"/>
      <c r="G51" s="124"/>
      <c r="H51" s="178" t="s">
        <v>87</v>
      </c>
      <c r="I51" s="179"/>
      <c r="J51" s="180"/>
      <c r="K51" s="181">
        <v>1500</v>
      </c>
      <c r="L51" s="181"/>
      <c r="M51" s="127"/>
      <c r="N51" s="140">
        <f>K51</f>
        <v>1500</v>
      </c>
    </row>
    <row r="52" spans="1:16">
      <c r="A52" s="112">
        <v>5</v>
      </c>
      <c r="B52" s="112"/>
      <c r="C52" s="122" t="s">
        <v>88</v>
      </c>
      <c r="D52" s="123"/>
      <c r="E52" s="123"/>
      <c r="F52" s="123"/>
      <c r="G52" s="124"/>
      <c r="H52" s="182" t="s">
        <v>87</v>
      </c>
      <c r="I52" s="183"/>
      <c r="J52" s="184"/>
      <c r="K52" s="118">
        <v>5000</v>
      </c>
      <c r="L52" s="118"/>
      <c r="M52" s="127"/>
      <c r="N52" s="140">
        <f>K52</f>
        <v>5000</v>
      </c>
    </row>
    <row r="53" spans="1:16" ht="18.75" customHeight="1">
      <c r="A53" s="185">
        <v>6</v>
      </c>
      <c r="B53" s="186"/>
      <c r="C53" s="187" t="s">
        <v>155</v>
      </c>
      <c r="D53" s="188"/>
      <c r="E53" s="188"/>
      <c r="F53" s="188"/>
      <c r="G53" s="188"/>
      <c r="H53" s="189"/>
      <c r="I53" s="190"/>
      <c r="J53" s="191"/>
      <c r="K53" s="192">
        <f>SUM(K47:K52)*0.05</f>
        <v>8900.7440495794781</v>
      </c>
      <c r="L53" s="192"/>
      <c r="M53" s="193"/>
      <c r="N53" s="140">
        <f>K53</f>
        <v>8900.7440495794781</v>
      </c>
      <c r="O53" s="10"/>
      <c r="P53" s="10"/>
    </row>
    <row r="54" spans="1:16">
      <c r="A54" s="194"/>
      <c r="B54" s="194"/>
      <c r="C54" s="107"/>
      <c r="D54" s="195"/>
      <c r="E54" s="114"/>
      <c r="F54" s="196"/>
      <c r="G54" s="197"/>
      <c r="H54" s="698" t="s">
        <v>89</v>
      </c>
      <c r="I54" s="698"/>
      <c r="J54" s="698"/>
      <c r="K54" s="198">
        <f>K48+K47+K49+K50+K51+K52+K53</f>
        <v>186915.62504116906</v>
      </c>
      <c r="L54" s="198"/>
      <c r="M54" s="198">
        <f>M48+M47+M49+M50+M51+M52+M53</f>
        <v>53863.760291215192</v>
      </c>
      <c r="N54" s="198">
        <f>N48+N47+N49+N50+N51+N52+N53</f>
        <v>133051.86474995382</v>
      </c>
      <c r="O54" s="10"/>
      <c r="P54" s="10"/>
    </row>
    <row r="55" spans="1:16">
      <c r="A55" s="27"/>
      <c r="B55" s="27"/>
      <c r="C55" s="199"/>
      <c r="D55" s="200"/>
      <c r="E55" s="201"/>
      <c r="F55" s="202"/>
      <c r="G55" s="203"/>
      <c r="H55" s="204"/>
      <c r="I55" s="205"/>
      <c r="J55" s="203"/>
      <c r="K55" s="206"/>
      <c r="L55" s="206"/>
      <c r="M55" s="31"/>
      <c r="N55" s="31"/>
      <c r="O55" s="10"/>
      <c r="P55" s="10"/>
    </row>
    <row r="56" spans="1:16">
      <c r="A56" s="27"/>
      <c r="B56" s="27"/>
      <c r="C56" s="695"/>
      <c r="D56" s="695"/>
      <c r="E56" s="201"/>
      <c r="F56" s="207" t="s">
        <v>90</v>
      </c>
      <c r="G56" s="699" t="s">
        <v>91</v>
      </c>
      <c r="H56" s="699"/>
      <c r="I56" s="699" t="s">
        <v>92</v>
      </c>
      <c r="J56" s="699"/>
      <c r="K56" s="206"/>
      <c r="L56" s="206"/>
      <c r="M56" s="208"/>
      <c r="N56" s="31"/>
      <c r="O56" s="10"/>
    </row>
    <row r="57" spans="1:16">
      <c r="A57" s="27"/>
      <c r="B57" s="27"/>
      <c r="C57" s="34"/>
      <c r="D57" s="34"/>
      <c r="E57" s="209"/>
      <c r="F57" s="207" t="s">
        <v>93</v>
      </c>
      <c r="G57" s="210">
        <f>M54</f>
        <v>53863.760291215192</v>
      </c>
      <c r="H57" s="211"/>
      <c r="I57" s="212">
        <f>G57/G59%</f>
        <v>28.817152273573406</v>
      </c>
      <c r="J57" s="213" t="s">
        <v>94</v>
      </c>
      <c r="K57" s="206"/>
      <c r="L57" s="206"/>
      <c r="M57" s="208"/>
      <c r="N57" s="31"/>
      <c r="O57" s="10"/>
    </row>
    <row r="58" spans="1:16">
      <c r="A58" s="27"/>
      <c r="B58" s="27"/>
      <c r="C58" s="27"/>
      <c r="D58" s="27"/>
      <c r="E58" s="209"/>
      <c r="F58" s="207" t="s">
        <v>95</v>
      </c>
      <c r="G58" s="210">
        <f>N54</f>
        <v>133051.86474995382</v>
      </c>
      <c r="H58" s="211"/>
      <c r="I58" s="212">
        <f>G58/G59%</f>
        <v>71.182847726426573</v>
      </c>
      <c r="J58" s="213" t="s">
        <v>94</v>
      </c>
      <c r="K58" s="206"/>
      <c r="L58" s="206"/>
      <c r="M58" s="208"/>
      <c r="N58" s="31"/>
      <c r="O58" s="10"/>
    </row>
    <row r="59" spans="1:16">
      <c r="A59" s="27"/>
      <c r="B59" s="27"/>
      <c r="C59" s="695"/>
      <c r="D59" s="695"/>
      <c r="E59" s="214"/>
      <c r="F59" s="207" t="s">
        <v>82</v>
      </c>
      <c r="G59" s="210">
        <f>K54</f>
        <v>186915.62504116906</v>
      </c>
      <c r="H59" s="211"/>
      <c r="I59" s="215">
        <v>100</v>
      </c>
      <c r="J59" s="213" t="s">
        <v>94</v>
      </c>
      <c r="K59" s="206"/>
      <c r="L59" s="206"/>
      <c r="M59" s="208"/>
      <c r="N59" s="31"/>
      <c r="O59" s="10"/>
    </row>
    <row r="60" spans="1:16">
      <c r="A60" s="27"/>
      <c r="B60" s="27"/>
      <c r="C60" s="695"/>
      <c r="D60" s="695"/>
      <c r="E60" s="695"/>
      <c r="F60" s="695"/>
      <c r="G60" s="695"/>
      <c r="H60" s="33"/>
      <c r="I60" s="29"/>
      <c r="J60" s="30"/>
      <c r="K60" s="30"/>
      <c r="M60" s="31"/>
      <c r="N60" s="31"/>
      <c r="O60" s="10"/>
    </row>
    <row r="61" spans="1:16">
      <c r="A61" s="27"/>
      <c r="B61" s="27"/>
      <c r="C61" s="695"/>
      <c r="D61" s="695"/>
      <c r="E61" s="695"/>
      <c r="F61" s="695"/>
      <c r="G61" s="695"/>
      <c r="H61" s="33"/>
      <c r="I61" s="29"/>
      <c r="J61" s="30"/>
      <c r="K61" s="30"/>
      <c r="M61" s="31"/>
      <c r="N61" s="31"/>
      <c r="O61" s="10"/>
    </row>
    <row r="62" spans="1:16">
      <c r="A62" s="27"/>
      <c r="B62" s="27"/>
      <c r="C62" s="27"/>
      <c r="D62" s="27"/>
      <c r="E62" s="27"/>
      <c r="F62" s="33"/>
      <c r="G62" s="27"/>
      <c r="H62" s="33"/>
      <c r="I62" s="29"/>
      <c r="J62" s="30"/>
      <c r="K62" s="30"/>
      <c r="M62" s="31"/>
      <c r="N62" s="31"/>
      <c r="O62" s="10"/>
    </row>
    <row r="63" spans="1:16">
      <c r="A63" s="27"/>
      <c r="B63" s="27"/>
      <c r="C63" s="27"/>
      <c r="D63" s="27"/>
      <c r="E63" s="27"/>
      <c r="F63" s="33"/>
      <c r="G63" s="27"/>
      <c r="H63" s="33"/>
      <c r="I63" s="29"/>
      <c r="J63" s="30"/>
      <c r="K63" s="30"/>
      <c r="M63" s="31"/>
      <c r="N63" s="31"/>
      <c r="O63" s="10"/>
    </row>
    <row r="64" spans="1:16">
      <c r="A64" s="27"/>
      <c r="B64" s="27"/>
      <c r="C64" s="34"/>
      <c r="D64" s="27"/>
      <c r="E64" s="27"/>
      <c r="F64" s="33"/>
      <c r="G64" s="34"/>
      <c r="H64" s="33"/>
      <c r="I64" s="29"/>
      <c r="J64" s="30"/>
      <c r="K64" s="28"/>
      <c r="L64" s="28"/>
      <c r="M64" s="31"/>
      <c r="N64" s="31"/>
      <c r="O64" s="10"/>
    </row>
    <row r="65" spans="1:15">
      <c r="A65" s="27"/>
      <c r="B65" s="27"/>
      <c r="C65" s="34"/>
      <c r="D65" s="27"/>
      <c r="E65" s="27"/>
      <c r="F65" s="33"/>
      <c r="G65" s="34"/>
      <c r="H65" s="33"/>
      <c r="I65" s="29"/>
      <c r="J65" s="30"/>
      <c r="K65" s="28"/>
      <c r="L65" s="28"/>
      <c r="M65" s="31"/>
      <c r="N65" s="31"/>
      <c r="O65" s="10"/>
    </row>
    <row r="66" spans="1:15">
      <c r="A66" s="27"/>
      <c r="B66" s="27"/>
      <c r="C66" s="34"/>
      <c r="D66" s="27"/>
      <c r="E66" s="27"/>
      <c r="F66" s="33"/>
      <c r="G66" s="34"/>
      <c r="H66" s="33"/>
      <c r="I66" s="29"/>
      <c r="J66" s="30"/>
      <c r="K66" s="30"/>
      <c r="M66" s="31"/>
      <c r="N66" s="31"/>
      <c r="O66" s="10"/>
    </row>
    <row r="67" spans="1:15">
      <c r="A67" s="27"/>
      <c r="B67" s="27"/>
      <c r="C67" s="27"/>
      <c r="D67" s="27"/>
      <c r="E67" s="27"/>
      <c r="F67" s="33"/>
      <c r="G67" s="27"/>
      <c r="H67" s="33"/>
      <c r="I67" s="29"/>
      <c r="J67" s="30"/>
      <c r="K67" s="30"/>
      <c r="M67" s="31"/>
      <c r="N67" s="31"/>
      <c r="O67" s="10"/>
    </row>
    <row r="68" spans="1:15">
      <c r="A68" s="27"/>
      <c r="B68" s="27"/>
      <c r="C68" s="27"/>
      <c r="D68" s="27"/>
      <c r="E68" s="27"/>
      <c r="F68" s="33"/>
      <c r="G68" s="27"/>
      <c r="H68" s="33"/>
      <c r="I68" s="29"/>
      <c r="J68" s="30"/>
      <c r="K68" s="30"/>
      <c r="M68" s="31"/>
      <c r="N68" s="31"/>
      <c r="O68" s="10"/>
    </row>
    <row r="69" spans="1:15">
      <c r="A69" s="27"/>
      <c r="B69" s="27"/>
      <c r="C69" s="27"/>
      <c r="D69" s="27"/>
      <c r="E69" s="27"/>
      <c r="F69" s="33"/>
      <c r="G69" s="27"/>
      <c r="H69" s="33"/>
      <c r="I69" s="29"/>
      <c r="J69" s="30"/>
      <c r="K69" s="30"/>
      <c r="M69" s="31"/>
      <c r="N69" s="31"/>
      <c r="O69" s="10"/>
    </row>
    <row r="70" spans="1:15">
      <c r="A70" s="27"/>
      <c r="B70" s="27"/>
      <c r="C70" s="27"/>
      <c r="D70" s="27"/>
      <c r="E70" s="27"/>
      <c r="F70" s="33"/>
      <c r="G70" s="27"/>
      <c r="H70" s="33"/>
      <c r="I70" s="29"/>
      <c r="J70" s="30"/>
      <c r="K70" s="30"/>
      <c r="M70" s="31"/>
      <c r="N70" s="31"/>
      <c r="O70" s="10"/>
    </row>
    <row r="71" spans="1:15">
      <c r="A71" s="27"/>
      <c r="B71" s="27"/>
      <c r="C71" s="27"/>
      <c r="D71" s="27"/>
      <c r="E71" s="27"/>
      <c r="F71" s="33"/>
      <c r="G71" s="27"/>
      <c r="H71" s="33"/>
      <c r="I71" s="29"/>
      <c r="J71" s="30"/>
      <c r="K71" s="30"/>
      <c r="M71" s="31"/>
      <c r="N71" s="31"/>
      <c r="O71" s="10"/>
    </row>
    <row r="72" spans="1:15">
      <c r="A72" s="27"/>
      <c r="B72" s="27"/>
      <c r="C72" s="27"/>
      <c r="D72" s="27"/>
      <c r="E72" s="27"/>
      <c r="F72" s="33"/>
      <c r="G72" s="27"/>
      <c r="H72" s="33"/>
      <c r="I72" s="29"/>
      <c r="J72" s="30"/>
      <c r="K72" s="30"/>
      <c r="M72" s="31"/>
      <c r="N72" s="31"/>
      <c r="O72" s="10"/>
    </row>
    <row r="73" spans="1:15">
      <c r="A73" s="27"/>
      <c r="B73" s="27"/>
      <c r="C73" s="27"/>
      <c r="D73" s="27"/>
      <c r="E73" s="27"/>
      <c r="F73" s="33"/>
      <c r="G73" s="27"/>
      <c r="H73" s="33"/>
      <c r="I73" s="29"/>
      <c r="J73" s="30"/>
      <c r="K73" s="30"/>
      <c r="M73" s="31"/>
      <c r="N73" s="31"/>
      <c r="O73" s="10"/>
    </row>
    <row r="74" spans="1:15">
      <c r="A74" s="27"/>
      <c r="B74" s="27"/>
      <c r="C74" s="27"/>
      <c r="D74" s="27"/>
      <c r="E74" s="27"/>
      <c r="F74" s="33"/>
      <c r="G74" s="27"/>
      <c r="H74" s="33"/>
      <c r="I74" s="29"/>
      <c r="J74" s="30"/>
      <c r="K74" s="30"/>
      <c r="M74" s="31"/>
      <c r="N74" s="31"/>
      <c r="O74" s="10"/>
    </row>
    <row r="75" spans="1:15">
      <c r="A75" s="27"/>
      <c r="B75" s="27"/>
      <c r="C75" s="27"/>
      <c r="D75" s="27"/>
      <c r="E75" s="27"/>
      <c r="F75" s="33"/>
      <c r="G75" s="27"/>
      <c r="H75" s="33"/>
      <c r="I75" s="29"/>
      <c r="J75" s="30"/>
      <c r="K75" s="30"/>
      <c r="M75" s="31"/>
      <c r="N75" s="31"/>
      <c r="O75" s="10"/>
    </row>
    <row r="76" spans="1:15">
      <c r="A76" s="27"/>
      <c r="B76" s="27"/>
      <c r="C76" s="27"/>
      <c r="D76" s="27"/>
      <c r="E76" s="27"/>
      <c r="F76" s="33"/>
      <c r="G76" s="27"/>
      <c r="H76" s="33"/>
      <c r="I76" s="29"/>
      <c r="J76" s="30"/>
      <c r="K76" s="30"/>
      <c r="M76" s="31"/>
      <c r="N76" s="31"/>
      <c r="O76" s="10"/>
    </row>
    <row r="77" spans="1:15">
      <c r="A77" s="27"/>
      <c r="B77" s="27"/>
      <c r="C77" s="27"/>
      <c r="D77" s="27"/>
      <c r="E77" s="27"/>
      <c r="F77" s="33"/>
      <c r="G77" s="27"/>
      <c r="H77" s="33"/>
      <c r="I77" s="29"/>
      <c r="J77" s="30"/>
      <c r="K77" s="30"/>
      <c r="M77" s="31"/>
      <c r="N77" s="31"/>
      <c r="O77" s="10"/>
    </row>
    <row r="78" spans="1:15">
      <c r="A78" s="27"/>
      <c r="B78" s="27"/>
      <c r="C78" s="27"/>
      <c r="D78" s="27"/>
      <c r="E78" s="27"/>
      <c r="F78" s="33"/>
      <c r="G78" s="27"/>
      <c r="H78" s="33"/>
      <c r="I78" s="29"/>
      <c r="J78" s="30"/>
      <c r="K78" s="30"/>
      <c r="M78" s="31"/>
      <c r="N78" s="31"/>
      <c r="O78" s="10"/>
    </row>
    <row r="79" spans="1:15">
      <c r="A79" s="27"/>
      <c r="B79" s="27"/>
      <c r="C79" s="27"/>
      <c r="D79" s="27"/>
      <c r="E79" s="27"/>
      <c r="F79" s="33"/>
      <c r="G79" s="27"/>
      <c r="H79" s="33"/>
      <c r="I79" s="29"/>
      <c r="J79" s="30"/>
      <c r="K79" s="30"/>
      <c r="M79" s="31"/>
      <c r="N79" s="31"/>
      <c r="O79" s="10"/>
    </row>
    <row r="80" spans="1:15">
      <c r="A80" s="27"/>
      <c r="B80" s="27"/>
      <c r="C80" s="27"/>
      <c r="D80" s="27"/>
      <c r="E80" s="27"/>
      <c r="F80" s="33"/>
      <c r="G80" s="27"/>
      <c r="H80" s="33"/>
      <c r="I80" s="29"/>
      <c r="J80" s="30"/>
      <c r="K80" s="30"/>
      <c r="M80" s="31"/>
      <c r="N80" s="31"/>
      <c r="O80" s="10"/>
    </row>
    <row r="81" spans="1:15">
      <c r="A81" s="27"/>
      <c r="B81" s="27"/>
      <c r="C81" s="27"/>
      <c r="D81" s="27"/>
      <c r="E81" s="27"/>
      <c r="F81" s="33"/>
      <c r="G81" s="27"/>
      <c r="H81" s="33"/>
      <c r="I81" s="29"/>
      <c r="J81" s="30"/>
      <c r="K81" s="30"/>
      <c r="M81" s="31"/>
      <c r="N81" s="31"/>
      <c r="O81" s="10"/>
    </row>
    <row r="82" spans="1:15">
      <c r="A82" s="27"/>
      <c r="B82" s="27"/>
      <c r="C82" s="27"/>
      <c r="D82" s="27"/>
      <c r="E82" s="27"/>
      <c r="F82" s="33"/>
      <c r="G82" s="27"/>
      <c r="H82" s="33"/>
      <c r="I82" s="29"/>
      <c r="J82" s="30"/>
      <c r="K82" s="30"/>
      <c r="M82" s="31"/>
      <c r="N82" s="31"/>
      <c r="O82" s="10"/>
    </row>
    <row r="83" spans="1:15">
      <c r="A83" s="27"/>
      <c r="B83" s="27"/>
      <c r="C83" s="27"/>
      <c r="D83" s="27"/>
      <c r="E83" s="27"/>
      <c r="F83" s="33"/>
      <c r="G83" s="27"/>
      <c r="H83" s="33"/>
      <c r="I83" s="29"/>
      <c r="J83" s="30"/>
      <c r="K83" s="30"/>
      <c r="M83" s="31"/>
      <c r="N83" s="31"/>
      <c r="O83" s="10"/>
    </row>
    <row r="84" spans="1:15">
      <c r="A84" s="27"/>
      <c r="B84" s="27"/>
      <c r="C84" s="27"/>
      <c r="D84" s="27"/>
      <c r="E84" s="27"/>
      <c r="F84" s="33"/>
      <c r="G84" s="27"/>
      <c r="H84" s="33"/>
      <c r="I84" s="29"/>
      <c r="J84" s="30"/>
      <c r="K84" s="30"/>
      <c r="M84" s="31"/>
      <c r="N84" s="31"/>
      <c r="O84" s="10"/>
    </row>
    <row r="85" spans="1:15">
      <c r="A85" s="27"/>
      <c r="B85" s="27"/>
      <c r="C85" s="27"/>
      <c r="D85" s="27"/>
      <c r="E85" s="27"/>
      <c r="F85" s="33"/>
      <c r="G85" s="27"/>
      <c r="H85" s="33"/>
      <c r="I85" s="29"/>
      <c r="J85" s="30"/>
      <c r="K85" s="30"/>
      <c r="M85" s="31"/>
      <c r="N85" s="31"/>
      <c r="O85" s="10"/>
    </row>
    <row r="86" spans="1:15">
      <c r="A86" s="27"/>
      <c r="B86" s="27"/>
      <c r="C86" s="27"/>
      <c r="D86" s="27"/>
      <c r="E86" s="27"/>
      <c r="F86" s="33"/>
      <c r="G86" s="27"/>
      <c r="H86" s="33"/>
      <c r="I86" s="29"/>
      <c r="J86" s="30"/>
      <c r="K86" s="30"/>
      <c r="M86" s="31"/>
      <c r="N86" s="31"/>
      <c r="O86" s="10"/>
    </row>
    <row r="87" spans="1:15">
      <c r="A87" s="27"/>
      <c r="B87" s="27"/>
      <c r="C87" s="27"/>
      <c r="D87" s="27"/>
      <c r="E87" s="27"/>
      <c r="F87" s="33"/>
      <c r="G87" s="27"/>
      <c r="H87" s="33"/>
      <c r="I87" s="29"/>
      <c r="J87" s="30"/>
      <c r="K87" s="30"/>
      <c r="M87" s="31"/>
      <c r="N87" s="31"/>
      <c r="O87" s="10"/>
    </row>
    <row r="88" spans="1:15">
      <c r="A88" s="27"/>
      <c r="B88" s="27"/>
      <c r="C88" s="27"/>
      <c r="D88" s="27"/>
      <c r="E88" s="27"/>
      <c r="F88" s="33"/>
      <c r="G88" s="27"/>
      <c r="H88" s="33"/>
      <c r="I88" s="29"/>
      <c r="J88" s="30"/>
      <c r="K88" s="30"/>
      <c r="M88" s="31"/>
      <c r="N88" s="31"/>
      <c r="O88" s="10"/>
    </row>
    <row r="89" spans="1:15">
      <c r="A89" s="27"/>
      <c r="B89" s="27"/>
      <c r="C89" s="27"/>
      <c r="D89" s="27"/>
      <c r="E89" s="27"/>
      <c r="F89" s="33"/>
      <c r="G89" s="27"/>
      <c r="H89" s="33"/>
      <c r="I89" s="29"/>
      <c r="J89" s="30"/>
      <c r="K89" s="30"/>
      <c r="M89" s="31"/>
      <c r="N89" s="31"/>
      <c r="O89" s="10"/>
    </row>
    <row r="90" spans="1:15">
      <c r="A90" s="27"/>
      <c r="B90" s="27"/>
      <c r="C90" s="27"/>
      <c r="D90" s="27"/>
      <c r="E90" s="27"/>
      <c r="F90" s="33"/>
      <c r="G90" s="27"/>
      <c r="H90" s="33"/>
      <c r="I90" s="29"/>
      <c r="J90" s="30"/>
      <c r="K90" s="30"/>
      <c r="M90" s="31"/>
      <c r="N90" s="31"/>
      <c r="O90" s="10"/>
    </row>
    <row r="91" spans="1:15">
      <c r="A91" s="35"/>
      <c r="B91" s="35"/>
      <c r="C91" s="35"/>
      <c r="D91" s="35"/>
      <c r="E91" s="35"/>
      <c r="F91" s="36"/>
      <c r="G91" s="35"/>
      <c r="H91" s="36"/>
      <c r="I91" s="37"/>
      <c r="J91" s="38"/>
      <c r="K91" s="38"/>
    </row>
  </sheetData>
  <mergeCells count="27">
    <mergeCell ref="A1:N1"/>
    <mergeCell ref="A2:H2"/>
    <mergeCell ref="I2:J2"/>
    <mergeCell ref="K2:N2"/>
    <mergeCell ref="A3:F3"/>
    <mergeCell ref="G3:N3"/>
    <mergeCell ref="C25:I25"/>
    <mergeCell ref="C30:G30"/>
    <mergeCell ref="C38:N38"/>
    <mergeCell ref="C45:N45"/>
    <mergeCell ref="A4:F4"/>
    <mergeCell ref="G4:N4"/>
    <mergeCell ref="C7:N7"/>
    <mergeCell ref="C9:N9"/>
    <mergeCell ref="C18:N18"/>
    <mergeCell ref="C20:N20"/>
    <mergeCell ref="C47:I47"/>
    <mergeCell ref="C48:G48"/>
    <mergeCell ref="H54:J54"/>
    <mergeCell ref="C56:D56"/>
    <mergeCell ref="G56:H56"/>
    <mergeCell ref="I56:J56"/>
    <mergeCell ref="C59:D59"/>
    <mergeCell ref="C60:D60"/>
    <mergeCell ref="E60:G60"/>
    <mergeCell ref="C61:D61"/>
    <mergeCell ref="E61:G6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68"/>
  <sheetViews>
    <sheetView view="pageBreakPreview" zoomScale="120" zoomScaleNormal="70" zoomScaleSheetLayoutView="120" workbookViewId="0">
      <selection activeCell="C4" sqref="C4:D4"/>
    </sheetView>
  </sheetViews>
  <sheetFormatPr defaultRowHeight="12.75"/>
  <cols>
    <col min="2" max="2" width="45.85546875" customWidth="1"/>
    <col min="4" max="4" width="16.85546875" customWidth="1"/>
    <col min="5" max="5" width="2.140625" customWidth="1"/>
    <col min="8" max="8" width="11.42578125" bestFit="1" customWidth="1"/>
    <col min="10" max="10" width="10.42578125" bestFit="1" customWidth="1"/>
    <col min="12" max="12" width="36.140625" customWidth="1"/>
    <col min="13" max="13" width="17.140625" customWidth="1"/>
    <col min="14" max="14" width="12.7109375" customWidth="1"/>
    <col min="15" max="15" width="15.5703125" customWidth="1"/>
  </cols>
  <sheetData>
    <row r="1" spans="1:12">
      <c r="G1" s="567" t="s">
        <v>276</v>
      </c>
      <c r="H1" s="567"/>
      <c r="I1" s="567"/>
      <c r="J1" s="567"/>
      <c r="K1" s="567"/>
      <c r="L1" s="567"/>
    </row>
    <row r="2" spans="1:12" ht="18" customHeight="1">
      <c r="A2" s="571" t="s">
        <v>332</v>
      </c>
      <c r="B2" s="571"/>
      <c r="C2" s="571"/>
      <c r="D2" s="571"/>
    </row>
    <row r="3" spans="1:12" ht="18" customHeight="1">
      <c r="A3" s="243"/>
      <c r="B3" s="243" t="s">
        <v>103</v>
      </c>
      <c r="C3" s="262" t="s">
        <v>0</v>
      </c>
      <c r="D3" s="262" t="s">
        <v>170</v>
      </c>
    </row>
    <row r="4" spans="1:12" ht="18" customHeight="1">
      <c r="A4" s="239"/>
      <c r="B4" s="239" t="s">
        <v>261</v>
      </c>
      <c r="C4" s="577" t="s">
        <v>262</v>
      </c>
      <c r="D4" s="578"/>
    </row>
    <row r="5" spans="1:12" ht="18" customHeight="1">
      <c r="A5" s="239"/>
      <c r="B5" s="239" t="s">
        <v>210</v>
      </c>
      <c r="C5" s="579" t="s">
        <v>300</v>
      </c>
      <c r="D5" s="578"/>
    </row>
    <row r="6" spans="1:12" ht="18" customHeight="1">
      <c r="A6" s="239">
        <v>1</v>
      </c>
      <c r="B6" s="239" t="s">
        <v>217</v>
      </c>
      <c r="C6" s="239" t="s">
        <v>172</v>
      </c>
      <c r="D6" s="299">
        <f>D8+D10+D12</f>
        <v>69</v>
      </c>
    </row>
    <row r="7" spans="1:12" ht="18" customHeight="1">
      <c r="A7" s="239"/>
      <c r="B7" s="239" t="s">
        <v>212</v>
      </c>
      <c r="C7" s="239" t="s">
        <v>94</v>
      </c>
      <c r="D7" s="299">
        <v>3.1</v>
      </c>
    </row>
    <row r="8" spans="1:12" ht="18" customHeight="1">
      <c r="A8" s="239"/>
      <c r="B8" s="239" t="s">
        <v>246</v>
      </c>
      <c r="C8" s="239" t="s">
        <v>172</v>
      </c>
      <c r="D8" s="299">
        <v>30</v>
      </c>
    </row>
    <row r="9" spans="1:12" ht="18" customHeight="1">
      <c r="A9" s="239"/>
      <c r="B9" s="239" t="s">
        <v>247</v>
      </c>
      <c r="C9" s="239"/>
      <c r="D9" s="299">
        <v>0.3</v>
      </c>
    </row>
    <row r="10" spans="1:12" ht="18" customHeight="1">
      <c r="A10" s="239"/>
      <c r="B10" s="239" t="s">
        <v>248</v>
      </c>
      <c r="C10" s="239" t="s">
        <v>172</v>
      </c>
      <c r="D10" s="299">
        <v>27</v>
      </c>
    </row>
    <row r="11" spans="1:12" ht="18" customHeight="1">
      <c r="A11" s="239"/>
      <c r="B11" s="239" t="s">
        <v>213</v>
      </c>
      <c r="C11" s="239"/>
      <c r="D11" s="299">
        <v>0.3</v>
      </c>
    </row>
    <row r="12" spans="1:12" ht="18" customHeight="1">
      <c r="A12" s="239"/>
      <c r="B12" s="239" t="s">
        <v>249</v>
      </c>
      <c r="C12" s="239" t="s">
        <v>172</v>
      </c>
      <c r="D12" s="299">
        <v>12</v>
      </c>
    </row>
    <row r="13" spans="1:12" ht="18" customHeight="1">
      <c r="A13" s="239"/>
      <c r="B13" s="239" t="s">
        <v>250</v>
      </c>
      <c r="C13" s="239"/>
      <c r="D13" s="299">
        <v>0.1</v>
      </c>
    </row>
    <row r="14" spans="1:12" ht="18" customHeight="1">
      <c r="A14" s="239"/>
      <c r="B14" s="239" t="s">
        <v>277</v>
      </c>
      <c r="C14" s="239" t="s">
        <v>207</v>
      </c>
      <c r="D14" s="299">
        <v>1070</v>
      </c>
    </row>
    <row r="15" spans="1:12" ht="27" customHeight="1">
      <c r="A15" s="239"/>
      <c r="B15" s="244" t="s">
        <v>259</v>
      </c>
      <c r="C15" s="239" t="s">
        <v>207</v>
      </c>
      <c r="D15" s="299">
        <v>33</v>
      </c>
    </row>
    <row r="16" spans="1:12" ht="18" customHeight="1">
      <c r="A16" s="239"/>
      <c r="B16" s="239" t="s">
        <v>218</v>
      </c>
      <c r="C16" s="239" t="s">
        <v>208</v>
      </c>
      <c r="D16" s="300">
        <f>D15/D14</f>
        <v>3.0841121495327101E-2</v>
      </c>
    </row>
    <row r="17" spans="1:12" ht="28.5" customHeight="1">
      <c r="A17" s="239"/>
      <c r="B17" s="261" t="s">
        <v>260</v>
      </c>
      <c r="C17" s="376" t="s">
        <v>209</v>
      </c>
      <c r="D17" s="301">
        <v>100</v>
      </c>
    </row>
    <row r="18" spans="1:12" ht="42" customHeight="1">
      <c r="A18" s="239"/>
      <c r="B18" s="286" t="s">
        <v>216</v>
      </c>
      <c r="C18" s="376" t="s">
        <v>209</v>
      </c>
      <c r="D18" s="301">
        <v>180</v>
      </c>
    </row>
    <row r="19" spans="1:12" ht="18" customHeight="1">
      <c r="A19" s="239"/>
      <c r="B19" s="239" t="s">
        <v>184</v>
      </c>
      <c r="C19" s="239" t="s">
        <v>207</v>
      </c>
      <c r="D19" s="302">
        <v>40</v>
      </c>
    </row>
    <row r="20" spans="1:12" ht="18" customHeight="1">
      <c r="A20" s="239">
        <v>2</v>
      </c>
      <c r="B20" s="239" t="s">
        <v>171</v>
      </c>
      <c r="C20" s="239"/>
      <c r="D20" s="302" t="s">
        <v>173</v>
      </c>
    </row>
    <row r="21" spans="1:12" ht="18" customHeight="1">
      <c r="A21" s="239"/>
      <c r="B21" s="239" t="s">
        <v>306</v>
      </c>
      <c r="C21" s="239" t="s">
        <v>207</v>
      </c>
      <c r="D21" s="303">
        <v>1</v>
      </c>
    </row>
    <row r="22" spans="1:12" ht="27.75" customHeight="1">
      <c r="A22" s="239">
        <v>4</v>
      </c>
      <c r="B22" s="244" t="s">
        <v>305</v>
      </c>
      <c r="C22" s="239" t="s">
        <v>207</v>
      </c>
      <c r="D22" s="303">
        <v>1.5</v>
      </c>
      <c r="F22" s="569"/>
      <c r="G22" s="569"/>
      <c r="H22" s="569"/>
      <c r="I22" s="569"/>
      <c r="J22" s="569"/>
      <c r="K22" s="569"/>
      <c r="L22" s="569"/>
    </row>
    <row r="23" spans="1:12" ht="18" customHeight="1">
      <c r="A23" s="239">
        <v>5</v>
      </c>
      <c r="B23" s="239" t="s">
        <v>308</v>
      </c>
      <c r="C23" s="239" t="s">
        <v>307</v>
      </c>
      <c r="D23" s="304">
        <v>3</v>
      </c>
    </row>
    <row r="24" spans="1:12" ht="18" customHeight="1">
      <c r="A24" s="239">
        <v>6</v>
      </c>
      <c r="B24" s="239" t="s">
        <v>309</v>
      </c>
      <c r="C24" s="239" t="s">
        <v>307</v>
      </c>
      <c r="D24" s="304">
        <v>2</v>
      </c>
    </row>
    <row r="25" spans="1:12" ht="18" customHeight="1">
      <c r="A25" s="239">
        <v>7</v>
      </c>
      <c r="B25" s="239" t="s">
        <v>174</v>
      </c>
      <c r="C25" s="239" t="s">
        <v>207</v>
      </c>
      <c r="D25" s="303">
        <v>1.5</v>
      </c>
      <c r="H25" s="263"/>
      <c r="I25" s="263"/>
      <c r="J25" s="263"/>
      <c r="K25" s="263"/>
      <c r="L25" s="263"/>
    </row>
    <row r="26" spans="1:12" ht="18" customHeight="1">
      <c r="A26" s="239">
        <v>8</v>
      </c>
      <c r="B26" s="239" t="s">
        <v>311</v>
      </c>
      <c r="C26" s="239" t="s">
        <v>207</v>
      </c>
      <c r="D26" s="303">
        <v>0.9</v>
      </c>
      <c r="H26" s="263"/>
      <c r="I26" s="263"/>
      <c r="J26" s="263"/>
      <c r="K26" s="263"/>
      <c r="L26" s="263"/>
    </row>
    <row r="27" spans="1:12" ht="18" customHeight="1">
      <c r="A27" s="239">
        <v>9</v>
      </c>
      <c r="B27" s="239" t="s">
        <v>175</v>
      </c>
      <c r="C27" s="239" t="s">
        <v>207</v>
      </c>
      <c r="D27" s="303">
        <v>30</v>
      </c>
      <c r="G27" s="263"/>
      <c r="H27" s="263"/>
      <c r="I27" s="263"/>
      <c r="J27" s="263"/>
      <c r="K27" s="263"/>
      <c r="L27" s="263"/>
    </row>
    <row r="28" spans="1:12" ht="18" customHeight="1">
      <c r="A28" s="239">
        <v>10</v>
      </c>
      <c r="B28" s="249" t="s">
        <v>191</v>
      </c>
      <c r="C28" s="250" t="s">
        <v>94</v>
      </c>
      <c r="D28" s="303">
        <v>10</v>
      </c>
      <c r="G28" s="263"/>
      <c r="H28" s="263"/>
      <c r="I28" s="263"/>
      <c r="J28" s="263"/>
      <c r="K28" s="263"/>
      <c r="L28" s="263"/>
    </row>
    <row r="29" spans="1:12" ht="18" customHeight="1">
      <c r="A29" s="239">
        <v>11</v>
      </c>
      <c r="B29" s="572" t="s">
        <v>245</v>
      </c>
      <c r="C29" s="573"/>
      <c r="D29" s="574"/>
      <c r="G29" s="263"/>
      <c r="H29" s="263"/>
      <c r="I29" s="263"/>
      <c r="J29" s="263"/>
      <c r="K29" s="263"/>
      <c r="L29" s="263"/>
    </row>
    <row r="30" spans="1:12" ht="18" customHeight="1">
      <c r="A30" s="239"/>
      <c r="B30" s="240" t="s">
        <v>9</v>
      </c>
      <c r="C30" s="239"/>
      <c r="D30" s="245" t="s">
        <v>3</v>
      </c>
    </row>
    <row r="31" spans="1:12" ht="18" customHeight="1">
      <c r="A31" s="239"/>
      <c r="B31" s="241">
        <v>0</v>
      </c>
      <c r="C31" s="239" t="s">
        <v>207</v>
      </c>
      <c r="D31" s="246">
        <v>0</v>
      </c>
    </row>
    <row r="32" spans="1:12" ht="18" customHeight="1">
      <c r="A32" s="239"/>
      <c r="B32" s="242">
        <f t="shared" ref="B32:B41" si="0">B31+D$45</f>
        <v>4</v>
      </c>
      <c r="C32" s="239" t="s">
        <v>207</v>
      </c>
      <c r="D32" s="246">
        <v>3.1</v>
      </c>
    </row>
    <row r="33" spans="1:20" ht="18" customHeight="1">
      <c r="A33" s="239"/>
      <c r="B33" s="242">
        <f t="shared" si="0"/>
        <v>8</v>
      </c>
      <c r="C33" s="239" t="s">
        <v>207</v>
      </c>
      <c r="D33" s="246">
        <v>3.8</v>
      </c>
    </row>
    <row r="34" spans="1:20" ht="18" customHeight="1">
      <c r="A34" s="239"/>
      <c r="B34" s="242">
        <f t="shared" si="0"/>
        <v>12</v>
      </c>
      <c r="C34" s="239" t="s">
        <v>207</v>
      </c>
      <c r="D34" s="246">
        <v>4.2</v>
      </c>
    </row>
    <row r="35" spans="1:20" ht="18" customHeight="1">
      <c r="A35" s="239"/>
      <c r="B35" s="242">
        <f t="shared" si="0"/>
        <v>16</v>
      </c>
      <c r="C35" s="239" t="s">
        <v>207</v>
      </c>
      <c r="D35" s="246">
        <v>4.5999999999999996</v>
      </c>
    </row>
    <row r="36" spans="1:20" ht="18" customHeight="1">
      <c r="A36" s="239"/>
      <c r="B36" s="242">
        <f t="shared" si="0"/>
        <v>20</v>
      </c>
      <c r="C36" s="239" t="s">
        <v>207</v>
      </c>
      <c r="D36" s="246">
        <v>4.9000000000000004</v>
      </c>
    </row>
    <row r="37" spans="1:20" ht="18" customHeight="1">
      <c r="A37" s="239"/>
      <c r="B37" s="242">
        <f t="shared" si="0"/>
        <v>24</v>
      </c>
      <c r="C37" s="239" t="s">
        <v>207</v>
      </c>
      <c r="D37" s="246">
        <v>5</v>
      </c>
    </row>
    <row r="38" spans="1:20" ht="22.5" customHeight="1">
      <c r="A38" s="239"/>
      <c r="B38" s="242">
        <f t="shared" si="0"/>
        <v>28</v>
      </c>
      <c r="C38" s="239" t="s">
        <v>207</v>
      </c>
      <c r="D38" s="246">
        <v>4.9000000000000004</v>
      </c>
      <c r="G38" s="274"/>
      <c r="H38" s="274"/>
      <c r="I38" s="274"/>
      <c r="J38" s="274"/>
      <c r="K38" s="275"/>
      <c r="L38" s="276"/>
      <c r="M38" s="276"/>
      <c r="N38" s="277"/>
    </row>
    <row r="39" spans="1:20" ht="18" customHeight="1">
      <c r="A39" s="239"/>
      <c r="B39" s="242">
        <f t="shared" si="0"/>
        <v>32</v>
      </c>
      <c r="C39" s="239" t="s">
        <v>207</v>
      </c>
      <c r="D39" s="246">
        <v>4.5999999999999996</v>
      </c>
      <c r="F39" s="266"/>
      <c r="G39" s="568"/>
      <c r="H39" s="568"/>
      <c r="I39" s="568"/>
      <c r="J39" s="568"/>
      <c r="K39" s="278"/>
      <c r="L39" s="278"/>
      <c r="M39" s="278"/>
      <c r="N39" s="279"/>
    </row>
    <row r="40" spans="1:20" ht="18" customHeight="1">
      <c r="A40" s="239"/>
      <c r="B40" s="242">
        <f t="shared" si="0"/>
        <v>36</v>
      </c>
      <c r="C40" s="239" t="s">
        <v>207</v>
      </c>
      <c r="D40" s="246">
        <v>3.3</v>
      </c>
      <c r="G40" s="568"/>
      <c r="H40" s="568"/>
      <c r="I40" s="568"/>
      <c r="J40" s="568"/>
      <c r="K40" s="278"/>
      <c r="L40" s="278"/>
      <c r="M40" s="278"/>
      <c r="N40" s="279"/>
    </row>
    <row r="41" spans="1:20" ht="18" customHeight="1">
      <c r="A41" s="239"/>
      <c r="B41" s="242">
        <f t="shared" si="0"/>
        <v>40</v>
      </c>
      <c r="C41" s="239" t="s">
        <v>207</v>
      </c>
      <c r="D41" s="246">
        <v>0</v>
      </c>
      <c r="M41" s="568"/>
      <c r="N41" s="568"/>
      <c r="O41" s="568"/>
      <c r="P41" s="568"/>
      <c r="Q41" s="278"/>
      <c r="R41" s="278"/>
      <c r="S41" s="278"/>
      <c r="T41" s="279"/>
    </row>
    <row r="42" spans="1:20" ht="18" customHeight="1">
      <c r="A42" s="239"/>
      <c r="B42" s="242" t="s">
        <v>190</v>
      </c>
      <c r="C42" s="239" t="s">
        <v>207</v>
      </c>
      <c r="D42" s="246">
        <v>0.5</v>
      </c>
      <c r="G42" s="576"/>
      <c r="H42" s="576"/>
      <c r="I42" s="576"/>
      <c r="J42" s="576"/>
      <c r="Q42" s="278"/>
      <c r="R42" s="280"/>
      <c r="S42" s="280"/>
      <c r="T42" s="281"/>
    </row>
    <row r="43" spans="1:20" ht="18" customHeight="1">
      <c r="A43" s="239"/>
      <c r="B43" s="242" t="s">
        <v>195</v>
      </c>
      <c r="C43" s="239" t="s">
        <v>207</v>
      </c>
      <c r="D43" s="246">
        <v>1</v>
      </c>
    </row>
    <row r="44" spans="1:20" ht="18" customHeight="1">
      <c r="A44" s="239"/>
      <c r="B44" s="242" t="s">
        <v>252</v>
      </c>
      <c r="C44" s="239" t="s">
        <v>94</v>
      </c>
      <c r="D44" s="247">
        <v>0.7</v>
      </c>
      <c r="G44" s="268"/>
      <c r="H44" s="269"/>
      <c r="I44" s="269"/>
      <c r="J44" s="269"/>
      <c r="K44" s="269"/>
    </row>
    <row r="45" spans="1:20" ht="18" customHeight="1">
      <c r="A45" s="233"/>
      <c r="B45" s="234" t="s">
        <v>183</v>
      </c>
      <c r="C45" s="234" t="s">
        <v>207</v>
      </c>
      <c r="D45" s="235">
        <f>D19/10</f>
        <v>4</v>
      </c>
      <c r="G45" s="270"/>
      <c r="H45" s="575"/>
      <c r="I45" s="575"/>
      <c r="J45" s="575"/>
      <c r="K45" s="575"/>
    </row>
    <row r="46" spans="1:20" ht="19.5" customHeight="1">
      <c r="A46" s="580" t="s">
        <v>194</v>
      </c>
      <c r="B46" s="580"/>
      <c r="C46" s="580"/>
      <c r="D46" s="580"/>
      <c r="E46" s="580"/>
      <c r="F46" s="298"/>
      <c r="G46" s="270"/>
      <c r="H46" s="271"/>
      <c r="I46" s="271"/>
      <c r="J46" s="271"/>
      <c r="K46" s="272"/>
    </row>
    <row r="47" spans="1:20" ht="17.25" customHeight="1">
      <c r="A47" s="570" t="s">
        <v>201</v>
      </c>
      <c r="B47" s="570"/>
      <c r="C47" s="570"/>
      <c r="D47" s="570"/>
      <c r="G47" s="270"/>
      <c r="H47" s="271"/>
      <c r="I47" s="271"/>
      <c r="J47" s="273"/>
      <c r="K47" s="272"/>
    </row>
    <row r="48" spans="1:20" ht="12.75" customHeight="1">
      <c r="A48" s="282"/>
      <c r="B48" s="282" t="s">
        <v>267</v>
      </c>
      <c r="C48" s="282"/>
      <c r="D48" s="282"/>
    </row>
    <row r="49" spans="1:12" ht="12.75" customHeight="1">
      <c r="B49" s="289" t="s">
        <v>264</v>
      </c>
      <c r="C49" s="295">
        <v>1</v>
      </c>
      <c r="D49" s="290">
        <f>'cost estimate'!H67</f>
        <v>1055437.8183620456</v>
      </c>
      <c r="G49" s="566" t="s">
        <v>327</v>
      </c>
      <c r="H49" s="566"/>
      <c r="I49" s="566" t="s">
        <v>328</v>
      </c>
      <c r="J49" s="566"/>
      <c r="K49" s="566"/>
      <c r="L49" s="566"/>
    </row>
    <row r="50" spans="1:12">
      <c r="B50" s="291" t="s">
        <v>265</v>
      </c>
      <c r="C50" s="296">
        <f>'cost estimate'!J65/100</f>
        <v>0.68321954405549246</v>
      </c>
      <c r="D50" s="292">
        <f>'cost estimate'!H65</f>
        <v>721095.74504024046</v>
      </c>
      <c r="G50" s="566"/>
      <c r="H50" s="566"/>
      <c r="I50" s="566"/>
      <c r="J50" s="566"/>
      <c r="K50" s="566"/>
      <c r="L50" s="566"/>
    </row>
    <row r="51" spans="1:12">
      <c r="B51" s="293" t="s">
        <v>266</v>
      </c>
      <c r="C51" s="297">
        <f>'cost estimate'!J66/100</f>
        <v>0.31678045594450732</v>
      </c>
      <c r="D51" s="294">
        <f>'cost estimate'!H66</f>
        <v>334342.07332180493</v>
      </c>
      <c r="G51" s="566"/>
      <c r="H51" s="566"/>
      <c r="I51" s="566"/>
      <c r="J51" s="566"/>
      <c r="K51" s="566"/>
      <c r="L51" s="566"/>
    </row>
    <row r="62" spans="1:12">
      <c r="A62" s="305" t="s">
        <v>275</v>
      </c>
    </row>
    <row r="68" ht="18.75" customHeight="1"/>
  </sheetData>
  <sheetProtection sheet="1" objects="1" scenarios="1"/>
  <mergeCells count="16">
    <mergeCell ref="A47:D47"/>
    <mergeCell ref="A2:D2"/>
    <mergeCell ref="B29:D29"/>
    <mergeCell ref="H45:I45"/>
    <mergeCell ref="J45:K45"/>
    <mergeCell ref="G42:J42"/>
    <mergeCell ref="G39:J39"/>
    <mergeCell ref="G40:J40"/>
    <mergeCell ref="C4:D4"/>
    <mergeCell ref="C5:D5"/>
    <mergeCell ref="A46:E46"/>
    <mergeCell ref="G49:H51"/>
    <mergeCell ref="I49:L51"/>
    <mergeCell ref="G1:L1"/>
    <mergeCell ref="M41:P41"/>
    <mergeCell ref="F22:L22"/>
  </mergeCells>
  <printOptions horizontalCentered="1"/>
  <pageMargins left="0.7" right="0.2" top="0.63" bottom="0.24" header="0.36" footer="0.2"/>
  <pageSetup scale="82" orientation="portrait" r:id="rId1"/>
  <rowBreaks count="1" manualBreakCount="1">
    <brk id="45" max="11" man="1"/>
  </rowBreaks>
  <colBreaks count="2" manualBreakCount="2">
    <brk id="6" max="78" man="1"/>
    <brk id="12" max="6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71"/>
  <sheetViews>
    <sheetView view="pageBreakPreview" zoomScale="90" zoomScaleNormal="90" zoomScaleSheetLayoutView="90" workbookViewId="0">
      <selection activeCell="D9" sqref="D9"/>
    </sheetView>
  </sheetViews>
  <sheetFormatPr defaultColWidth="8.85546875" defaultRowHeight="12.75"/>
  <cols>
    <col min="1" max="1" width="4.42578125" style="236" customWidth="1"/>
    <col min="2" max="2" width="51" style="236" customWidth="1"/>
    <col min="3" max="3" width="12.42578125" style="236" customWidth="1"/>
    <col min="4" max="4" width="17.85546875" style="236" customWidth="1"/>
    <col min="5" max="5" width="8.7109375" style="236" customWidth="1"/>
    <col min="6" max="14" width="8.85546875" style="236"/>
    <col min="15" max="15" width="11.42578125" style="236" customWidth="1"/>
    <col min="16" max="29" width="8.85546875" style="236"/>
    <col min="30" max="36" width="8.85546875" style="1"/>
    <col min="37" max="16384" width="8.85546875" style="236"/>
  </cols>
  <sheetData>
    <row r="1" spans="1:36" s="2" customFormat="1" ht="39.75" customHeight="1">
      <c r="A1" s="586" t="s">
        <v>331</v>
      </c>
      <c r="B1" s="587"/>
      <c r="C1" s="587"/>
      <c r="D1" s="588"/>
      <c r="F1" s="585"/>
      <c r="G1" s="585"/>
      <c r="H1" s="585"/>
      <c r="I1" s="585"/>
      <c r="J1" s="585"/>
      <c r="K1" s="585"/>
      <c r="L1" s="585"/>
      <c r="M1" s="585"/>
      <c r="N1" s="585"/>
      <c r="O1" s="585"/>
      <c r="P1" s="585"/>
      <c r="Q1" s="585"/>
      <c r="R1" s="585"/>
      <c r="S1" s="585"/>
      <c r="T1" s="585"/>
      <c r="AD1" s="238"/>
      <c r="AE1" s="238"/>
      <c r="AF1" s="238"/>
      <c r="AG1" s="238"/>
      <c r="AH1" s="238"/>
      <c r="AI1" s="238"/>
      <c r="AJ1" s="238"/>
    </row>
    <row r="2" spans="1:36" s="2" customFormat="1" ht="16.5" customHeight="1">
      <c r="A2" s="264"/>
      <c r="B2" s="267" t="s">
        <v>254</v>
      </c>
      <c r="C2" s="284"/>
      <c r="D2" s="284"/>
      <c r="F2" s="585"/>
      <c r="G2" s="585"/>
      <c r="H2" s="585"/>
      <c r="I2" s="585"/>
      <c r="J2" s="585"/>
      <c r="K2" s="585"/>
      <c r="L2" s="585"/>
      <c r="M2" s="585"/>
      <c r="N2" s="585"/>
      <c r="O2" s="585"/>
      <c r="P2" s="585"/>
      <c r="Q2" s="585"/>
      <c r="R2" s="585"/>
      <c r="S2" s="585"/>
      <c r="T2" s="585"/>
      <c r="X2" s="285"/>
      <c r="Y2" s="285"/>
      <c r="Z2" s="285"/>
      <c r="AA2" s="285"/>
      <c r="AB2" s="285"/>
      <c r="AC2" s="285"/>
      <c r="AD2" s="238"/>
      <c r="AE2" s="238"/>
      <c r="AF2" s="238"/>
      <c r="AG2" s="238"/>
      <c r="AH2" s="238"/>
      <c r="AI2" s="238"/>
      <c r="AJ2" s="238"/>
    </row>
    <row r="3" spans="1:36" s="2" customFormat="1" ht="29.25" customHeight="1">
      <c r="A3" s="489"/>
      <c r="B3" s="490" t="s">
        <v>439</v>
      </c>
      <c r="C3" s="505" t="s">
        <v>214</v>
      </c>
      <c r="D3" s="506">
        <f>+('Input data'!D8*'Input data'!D9+'Input data'!D10*'Input data'!D11+'Input data'!D12*'Input data'!D13)/('Input data'!D8+'Input data'!D10+'Input data'!D12)</f>
        <v>0.26521739130434785</v>
      </c>
      <c r="F3" s="585"/>
      <c r="G3" s="585"/>
      <c r="H3" s="585"/>
      <c r="I3" s="585"/>
      <c r="J3" s="585"/>
      <c r="K3" s="585"/>
      <c r="L3" s="585"/>
      <c r="M3" s="585"/>
      <c r="N3" s="585"/>
      <c r="O3" s="585"/>
      <c r="P3" s="585"/>
      <c r="Q3" s="585"/>
      <c r="R3" s="585"/>
      <c r="S3" s="585"/>
      <c r="T3" s="585"/>
      <c r="X3" s="285"/>
      <c r="Y3" s="285"/>
      <c r="Z3" s="285"/>
      <c r="AA3" s="285"/>
      <c r="AB3" s="285"/>
      <c r="AC3" s="285"/>
      <c r="AD3" s="238"/>
      <c r="AE3" s="238"/>
      <c r="AF3" s="238"/>
      <c r="AG3" s="238"/>
      <c r="AH3" s="238"/>
      <c r="AI3" s="238"/>
      <c r="AJ3" s="238"/>
    </row>
    <row r="4" spans="1:36" s="2" customFormat="1" ht="16.5" customHeight="1">
      <c r="A4" s="489"/>
      <c r="B4" s="491" t="s">
        <v>440</v>
      </c>
      <c r="C4" s="507" t="s">
        <v>251</v>
      </c>
      <c r="D4" s="508">
        <f>+(0.0195)*('Input data'!D14^0.77)*('Input data'!D16^-0.385)</f>
        <v>16.008292378435453</v>
      </c>
      <c r="F4" s="585"/>
      <c r="G4" s="585"/>
      <c r="H4" s="585"/>
      <c r="I4" s="585"/>
      <c r="J4" s="585"/>
      <c r="K4" s="585"/>
      <c r="L4" s="585"/>
      <c r="M4" s="585"/>
      <c r="N4" s="585"/>
      <c r="O4" s="585"/>
      <c r="P4" s="585"/>
      <c r="Q4" s="585"/>
      <c r="R4" s="585"/>
      <c r="S4" s="585"/>
      <c r="T4" s="585"/>
      <c r="X4" s="285"/>
      <c r="Y4" s="285"/>
      <c r="Z4" s="285"/>
      <c r="AA4" s="285"/>
      <c r="AB4" s="285"/>
      <c r="AC4" s="285"/>
      <c r="AD4" s="238"/>
      <c r="AE4" s="238"/>
      <c r="AF4" s="238"/>
      <c r="AG4" s="238"/>
      <c r="AH4" s="238"/>
      <c r="AI4" s="238"/>
      <c r="AJ4" s="238"/>
    </row>
    <row r="5" spans="1:36" s="2" customFormat="1" ht="48" customHeight="1">
      <c r="A5" s="489"/>
      <c r="B5" s="492" t="s">
        <v>215</v>
      </c>
      <c r="C5" s="509" t="s">
        <v>209</v>
      </c>
      <c r="D5" s="510">
        <f>'Input data'!D17</f>
        <v>100</v>
      </c>
      <c r="F5" s="585"/>
      <c r="G5" s="585"/>
      <c r="H5" s="585"/>
      <c r="I5" s="585"/>
      <c r="J5" s="585"/>
      <c r="K5" s="585"/>
      <c r="L5" s="585"/>
      <c r="M5" s="585"/>
      <c r="N5" s="585"/>
      <c r="O5" s="585"/>
      <c r="P5" s="585"/>
      <c r="Q5" s="585"/>
      <c r="R5" s="585"/>
      <c r="S5" s="585"/>
      <c r="T5" s="585"/>
      <c r="X5" s="285"/>
      <c r="Y5" s="285"/>
      <c r="Z5" s="285"/>
      <c r="AA5" s="285"/>
      <c r="AB5" s="285"/>
      <c r="AC5" s="285"/>
      <c r="AD5" s="238"/>
      <c r="AE5" s="238"/>
      <c r="AF5" s="238"/>
      <c r="AG5" s="238"/>
      <c r="AH5" s="238"/>
      <c r="AI5" s="238"/>
      <c r="AJ5" s="238"/>
    </row>
    <row r="6" spans="1:36" s="2" customFormat="1" ht="44.25" customHeight="1">
      <c r="A6" s="489"/>
      <c r="B6" s="493" t="s">
        <v>216</v>
      </c>
      <c r="C6" s="509" t="s">
        <v>209</v>
      </c>
      <c r="D6" s="510">
        <f>'Input data'!D18</f>
        <v>180</v>
      </c>
      <c r="F6" s="585"/>
      <c r="G6" s="585"/>
      <c r="H6" s="585"/>
      <c r="I6" s="585"/>
      <c r="J6" s="585"/>
      <c r="K6" s="585"/>
      <c r="L6" s="585"/>
      <c r="M6" s="585"/>
      <c r="N6" s="585"/>
      <c r="O6" s="585"/>
      <c r="P6" s="585"/>
      <c r="Q6" s="585"/>
      <c r="R6" s="585"/>
      <c r="S6" s="585"/>
      <c r="T6" s="585"/>
      <c r="X6" s="285"/>
      <c r="Y6" s="285"/>
      <c r="Z6" s="285"/>
      <c r="AA6" s="285"/>
      <c r="AB6" s="285"/>
      <c r="AC6" s="285"/>
      <c r="AD6" s="238"/>
      <c r="AE6" s="238"/>
      <c r="AF6" s="238"/>
      <c r="AG6" s="238"/>
      <c r="AH6" s="238"/>
      <c r="AI6" s="238"/>
      <c r="AJ6" s="238"/>
    </row>
    <row r="7" spans="1:36" s="2" customFormat="1" ht="16.5" customHeight="1">
      <c r="A7" s="489"/>
      <c r="B7" s="494" t="s">
        <v>441</v>
      </c>
      <c r="C7" s="511" t="s">
        <v>33</v>
      </c>
      <c r="D7" s="512">
        <f>+D3*D6*D12/360</f>
        <v>9.15</v>
      </c>
      <c r="F7" s="585"/>
      <c r="G7" s="585"/>
      <c r="H7" s="585"/>
      <c r="I7" s="585"/>
      <c r="J7" s="585"/>
      <c r="K7" s="585"/>
      <c r="L7" s="585"/>
      <c r="M7" s="585"/>
      <c r="N7" s="585"/>
      <c r="O7" s="585"/>
      <c r="P7" s="585"/>
      <c r="Q7" s="585"/>
      <c r="R7" s="585"/>
      <c r="S7" s="585"/>
      <c r="T7" s="585"/>
      <c r="X7" s="285"/>
      <c r="Y7" s="285"/>
      <c r="Z7" s="285"/>
      <c r="AA7" s="285"/>
      <c r="AB7" s="285"/>
      <c r="AC7" s="285"/>
      <c r="AD7" s="238"/>
      <c r="AE7" s="238"/>
      <c r="AF7" s="238"/>
      <c r="AG7" s="238"/>
      <c r="AH7" s="238"/>
      <c r="AI7" s="238"/>
      <c r="AJ7" s="238"/>
    </row>
    <row r="8" spans="1:36" s="2" customFormat="1" ht="16.5" customHeight="1">
      <c r="A8" s="489"/>
      <c r="B8" s="494" t="s">
        <v>310</v>
      </c>
      <c r="C8" s="513" t="s">
        <v>207</v>
      </c>
      <c r="D8" s="514">
        <f>'Input data'!D26</f>
        <v>0.9</v>
      </c>
      <c r="F8" s="585"/>
      <c r="G8" s="585"/>
      <c r="H8" s="585"/>
      <c r="I8" s="585"/>
      <c r="J8" s="585"/>
      <c r="K8" s="585"/>
      <c r="L8" s="585"/>
      <c r="M8" s="585"/>
      <c r="N8" s="585"/>
      <c r="O8" s="585"/>
      <c r="P8" s="585"/>
      <c r="Q8" s="585"/>
      <c r="R8" s="585"/>
      <c r="S8" s="585"/>
      <c r="T8" s="585"/>
      <c r="X8" s="285"/>
      <c r="Y8" s="285"/>
      <c r="Z8" s="285"/>
      <c r="AA8" s="285"/>
      <c r="AB8" s="285"/>
      <c r="AC8" s="285"/>
      <c r="AD8" s="238"/>
      <c r="AE8" s="238"/>
      <c r="AF8" s="238"/>
      <c r="AG8" s="238"/>
      <c r="AH8" s="238"/>
      <c r="AI8" s="238"/>
      <c r="AJ8" s="238"/>
    </row>
    <row r="9" spans="1:36" s="2" customFormat="1" ht="16.5" customHeight="1">
      <c r="A9" s="489"/>
      <c r="B9" s="494" t="s">
        <v>442</v>
      </c>
      <c r="C9" s="513" t="s">
        <v>207</v>
      </c>
      <c r="D9" s="514">
        <f>+D7/(1.711*(D8)^(1.5))</f>
        <v>6.2633592204127257</v>
      </c>
      <c r="F9" s="585"/>
      <c r="G9" s="585"/>
      <c r="H9" s="585"/>
      <c r="I9" s="585"/>
      <c r="J9" s="585"/>
      <c r="K9" s="585"/>
      <c r="L9" s="585"/>
      <c r="M9" s="585"/>
      <c r="N9" s="585"/>
      <c r="O9" s="585"/>
      <c r="P9" s="585"/>
      <c r="Q9" s="585"/>
      <c r="R9" s="585"/>
      <c r="S9" s="585"/>
      <c r="T9" s="585"/>
      <c r="X9" s="285"/>
      <c r="Y9" s="285"/>
      <c r="Z9" s="285"/>
      <c r="AA9" s="584" t="s">
        <v>39</v>
      </c>
      <c r="AB9" s="285"/>
      <c r="AC9" s="285"/>
      <c r="AD9" s="238"/>
      <c r="AE9" s="238"/>
      <c r="AF9" s="238"/>
      <c r="AG9" s="238"/>
      <c r="AH9" s="238"/>
      <c r="AI9" s="238"/>
      <c r="AJ9" s="238"/>
    </row>
    <row r="10" spans="1:36" s="2" customFormat="1" ht="16.5" customHeight="1">
      <c r="A10" s="489"/>
      <c r="B10" s="494"/>
      <c r="C10" s="513"/>
      <c r="D10" s="514"/>
      <c r="F10" s="585"/>
      <c r="G10" s="585"/>
      <c r="H10" s="585"/>
      <c r="I10" s="585"/>
      <c r="J10" s="585"/>
      <c r="K10" s="585"/>
      <c r="L10" s="585"/>
      <c r="M10" s="585"/>
      <c r="N10" s="585"/>
      <c r="O10" s="585"/>
      <c r="P10" s="585"/>
      <c r="Q10" s="585"/>
      <c r="R10" s="585"/>
      <c r="S10" s="585"/>
      <c r="T10" s="585"/>
      <c r="X10" s="285" t="s">
        <v>16</v>
      </c>
      <c r="Y10" s="285" t="s">
        <v>49</v>
      </c>
      <c r="Z10" s="285" t="s">
        <v>48</v>
      </c>
      <c r="AA10" s="584"/>
      <c r="AB10" s="285" t="s">
        <v>40</v>
      </c>
      <c r="AC10" s="285" t="s">
        <v>176</v>
      </c>
      <c r="AD10" s="238"/>
      <c r="AE10" s="238"/>
      <c r="AF10" s="238"/>
      <c r="AG10" s="238"/>
      <c r="AH10" s="238"/>
      <c r="AI10" s="238"/>
      <c r="AJ10" s="238"/>
    </row>
    <row r="11" spans="1:36" s="2" customFormat="1" ht="16.5" customHeight="1">
      <c r="A11" s="489"/>
      <c r="B11" s="494" t="s">
        <v>253</v>
      </c>
      <c r="C11" s="513"/>
      <c r="D11" s="514"/>
      <c r="F11" s="585"/>
      <c r="G11" s="585"/>
      <c r="H11" s="585"/>
      <c r="I11" s="585"/>
      <c r="J11" s="585"/>
      <c r="K11" s="585"/>
      <c r="L11" s="585"/>
      <c r="M11" s="585"/>
      <c r="N11" s="585"/>
      <c r="O11" s="585"/>
      <c r="P11" s="585"/>
      <c r="Q11" s="585"/>
      <c r="R11" s="585"/>
      <c r="S11" s="585"/>
      <c r="T11" s="585"/>
      <c r="X11" s="285"/>
      <c r="Y11" s="285"/>
      <c r="Z11" s="285"/>
      <c r="AA11" s="285"/>
      <c r="AB11" s="285"/>
      <c r="AC11" s="285"/>
      <c r="AD11" s="238"/>
      <c r="AE11" s="238"/>
      <c r="AF11" s="238"/>
      <c r="AG11" s="238"/>
      <c r="AH11" s="238"/>
      <c r="AI11" s="238"/>
      <c r="AJ11" s="238"/>
    </row>
    <row r="12" spans="1:36" ht="15">
      <c r="A12" s="494"/>
      <c r="B12" s="494" t="s">
        <v>211</v>
      </c>
      <c r="C12" s="513" t="s">
        <v>41</v>
      </c>
      <c r="D12" s="513">
        <f>'Input data'!D6</f>
        <v>69</v>
      </c>
      <c r="F12" s="585"/>
      <c r="G12" s="585"/>
      <c r="H12" s="585"/>
      <c r="I12" s="585"/>
      <c r="J12" s="585"/>
      <c r="K12" s="585"/>
      <c r="L12" s="585"/>
      <c r="M12" s="585"/>
      <c r="N12" s="585"/>
      <c r="O12" s="585"/>
      <c r="P12" s="585"/>
      <c r="Q12" s="585"/>
      <c r="R12" s="585"/>
      <c r="S12" s="585"/>
      <c r="T12" s="585"/>
      <c r="X12" s="236">
        <f>+'Qty estimate'!A5</f>
        <v>0</v>
      </c>
      <c r="Y12" s="248">
        <f>+'Qty estimate'!B5</f>
        <v>100</v>
      </c>
      <c r="Z12" s="248">
        <f>AC12-D$8</f>
        <v>97.6</v>
      </c>
      <c r="AA12" s="236">
        <f>+'Qty estimate'!C5*0.3+100</f>
        <v>100</v>
      </c>
      <c r="AB12" s="236">
        <f>+Y12</f>
        <v>100</v>
      </c>
      <c r="AC12" s="248">
        <f>Y12-D$13</f>
        <v>98.5</v>
      </c>
    </row>
    <row r="13" spans="1:36" ht="15">
      <c r="A13" s="494"/>
      <c r="B13" s="494" t="s">
        <v>17</v>
      </c>
      <c r="C13" s="513" t="s">
        <v>8</v>
      </c>
      <c r="D13" s="514">
        <f>'Input data'!D25</f>
        <v>1.5</v>
      </c>
      <c r="F13" s="585"/>
      <c r="G13" s="585"/>
      <c r="H13" s="585"/>
      <c r="I13" s="585"/>
      <c r="J13" s="585"/>
      <c r="K13" s="585"/>
      <c r="L13" s="585"/>
      <c r="M13" s="585"/>
      <c r="N13" s="585"/>
      <c r="O13" s="585"/>
      <c r="P13" s="585"/>
      <c r="Q13" s="585"/>
      <c r="R13" s="585"/>
      <c r="S13" s="585"/>
      <c r="T13" s="585"/>
      <c r="X13" s="236">
        <f>+'Qty estimate'!A6</f>
        <v>4</v>
      </c>
      <c r="Y13" s="248">
        <f>+'Qty estimate'!B6</f>
        <v>96.9</v>
      </c>
      <c r="Z13" s="248">
        <f t="shared" ref="Z13:Z24" si="0">AC13-D$8</f>
        <v>97.6</v>
      </c>
      <c r="AA13" s="237">
        <f>+'Qty estimate'!C6*0.15+100</f>
        <v>100.465</v>
      </c>
      <c r="AB13" s="236">
        <f t="shared" ref="AB13:AB18" si="1">+AB12</f>
        <v>100</v>
      </c>
      <c r="AC13" s="237">
        <f>AC12</f>
        <v>98.5</v>
      </c>
    </row>
    <row r="14" spans="1:36" ht="15">
      <c r="A14" s="494"/>
      <c r="B14" s="494" t="s">
        <v>21</v>
      </c>
      <c r="C14" s="513" t="s">
        <v>8</v>
      </c>
      <c r="D14" s="515">
        <f>(0.4*D21)+1</f>
        <v>3</v>
      </c>
      <c r="F14" s="585"/>
      <c r="G14" s="585"/>
      <c r="H14" s="585"/>
      <c r="I14" s="585"/>
      <c r="J14" s="585"/>
      <c r="K14" s="585"/>
      <c r="L14" s="585"/>
      <c r="M14" s="585"/>
      <c r="N14" s="585"/>
      <c r="O14" s="585"/>
      <c r="P14" s="585"/>
      <c r="Q14" s="585"/>
      <c r="R14" s="585"/>
      <c r="S14" s="585"/>
      <c r="T14" s="585"/>
      <c r="X14" s="236">
        <f>+'Qty estimate'!A7</f>
        <v>8</v>
      </c>
      <c r="Y14" s="248">
        <f>+'Qty estimate'!B7</f>
        <v>96.2</v>
      </c>
      <c r="Z14" s="248">
        <f t="shared" si="0"/>
        <v>97.6</v>
      </c>
      <c r="AA14" s="237">
        <f>+'Qty estimate'!C7*'Input data'!D$28/100+100</f>
        <v>100.38</v>
      </c>
      <c r="AB14" s="236">
        <f t="shared" si="1"/>
        <v>100</v>
      </c>
      <c r="AC14" s="237">
        <f t="shared" ref="AC14:AC24" si="2">AC13</f>
        <v>98.5</v>
      </c>
    </row>
    <row r="15" spans="1:36" ht="15">
      <c r="A15" s="494"/>
      <c r="B15" s="494" t="s">
        <v>24</v>
      </c>
      <c r="C15" s="513" t="s">
        <v>8</v>
      </c>
      <c r="D15" s="515">
        <f>+MAX('Qty estimate'!C5:C19)*(D22+D23)+D14</f>
        <v>28</v>
      </c>
      <c r="F15" s="585"/>
      <c r="G15" s="585"/>
      <c r="H15" s="585"/>
      <c r="I15" s="585"/>
      <c r="J15" s="585"/>
      <c r="K15" s="585"/>
      <c r="L15" s="585"/>
      <c r="M15" s="585"/>
      <c r="N15" s="585"/>
      <c r="O15" s="585"/>
      <c r="P15" s="585"/>
      <c r="Q15" s="585"/>
      <c r="R15" s="585"/>
      <c r="S15" s="585"/>
      <c r="T15" s="585"/>
      <c r="X15" s="236">
        <f>+'Qty estimate'!A8</f>
        <v>12</v>
      </c>
      <c r="Y15" s="248">
        <f>+'Qty estimate'!B8</f>
        <v>95.8</v>
      </c>
      <c r="Z15" s="248">
        <f t="shared" si="0"/>
        <v>97.6</v>
      </c>
      <c r="AA15" s="237">
        <f>+'Qty estimate'!C8*'Input data'!D$28/100+100</f>
        <v>100.42</v>
      </c>
      <c r="AB15" s="236">
        <f t="shared" si="1"/>
        <v>100</v>
      </c>
      <c r="AC15" s="237">
        <f t="shared" si="2"/>
        <v>98.5</v>
      </c>
    </row>
    <row r="16" spans="1:36" ht="15">
      <c r="A16" s="494"/>
      <c r="B16" s="494" t="s">
        <v>42</v>
      </c>
      <c r="C16" s="513" t="s">
        <v>8</v>
      </c>
      <c r="D16" s="515">
        <f>D14</f>
        <v>3</v>
      </c>
      <c r="F16" s="585"/>
      <c r="G16" s="585"/>
      <c r="H16" s="585"/>
      <c r="I16" s="585"/>
      <c r="J16" s="585"/>
      <c r="K16" s="585"/>
      <c r="L16" s="585"/>
      <c r="M16" s="585"/>
      <c r="N16" s="585"/>
      <c r="O16" s="585"/>
      <c r="P16" s="585"/>
      <c r="Q16" s="585"/>
      <c r="R16" s="585"/>
      <c r="S16" s="585"/>
      <c r="T16" s="585"/>
      <c r="X16" s="236">
        <f>+'Qty estimate'!A9</f>
        <v>16</v>
      </c>
      <c r="Y16" s="248">
        <f>+'Qty estimate'!B9</f>
        <v>95.4</v>
      </c>
      <c r="Z16" s="248">
        <f t="shared" si="0"/>
        <v>97.6</v>
      </c>
      <c r="AA16" s="237">
        <f>+'Qty estimate'!C9*'Input data'!D$28/100+100</f>
        <v>100.46</v>
      </c>
      <c r="AB16" s="236">
        <f t="shared" si="1"/>
        <v>100</v>
      </c>
      <c r="AC16" s="237">
        <f t="shared" si="2"/>
        <v>98.5</v>
      </c>
    </row>
    <row r="17" spans="1:29" ht="15">
      <c r="A17" s="494"/>
      <c r="B17" s="494" t="s">
        <v>43</v>
      </c>
      <c r="C17" s="513" t="s">
        <v>8</v>
      </c>
      <c r="D17" s="515">
        <f>'Input data'!D22</f>
        <v>1.5</v>
      </c>
      <c r="F17" s="585"/>
      <c r="G17" s="585"/>
      <c r="H17" s="585"/>
      <c r="I17" s="585"/>
      <c r="J17" s="585"/>
      <c r="K17" s="585"/>
      <c r="L17" s="585"/>
      <c r="M17" s="585"/>
      <c r="N17" s="585"/>
      <c r="O17" s="585"/>
      <c r="P17" s="585"/>
      <c r="Q17" s="585"/>
      <c r="R17" s="585"/>
      <c r="S17" s="585"/>
      <c r="T17" s="585"/>
      <c r="X17" s="236">
        <f>+'Qty estimate'!A10</f>
        <v>20</v>
      </c>
      <c r="Y17" s="248">
        <f>+'Qty estimate'!B10</f>
        <v>95.1</v>
      </c>
      <c r="Z17" s="248">
        <f t="shared" si="0"/>
        <v>97.6</v>
      </c>
      <c r="AA17" s="237">
        <f>+'Qty estimate'!C10*'Input data'!D$28/100+100</f>
        <v>100.49</v>
      </c>
      <c r="AB17" s="236">
        <f t="shared" si="1"/>
        <v>100</v>
      </c>
      <c r="AC17" s="237">
        <f t="shared" si="2"/>
        <v>98.5</v>
      </c>
    </row>
    <row r="18" spans="1:29" ht="15">
      <c r="A18" s="494"/>
      <c r="B18" s="494" t="s">
        <v>164</v>
      </c>
      <c r="C18" s="513" t="s">
        <v>8</v>
      </c>
      <c r="D18" s="514">
        <f>+D9</f>
        <v>6.2633592204127257</v>
      </c>
      <c r="F18" s="585"/>
      <c r="G18" s="585"/>
      <c r="H18" s="585"/>
      <c r="I18" s="585"/>
      <c r="J18" s="585"/>
      <c r="K18" s="585"/>
      <c r="L18" s="585"/>
      <c r="M18" s="585"/>
      <c r="N18" s="585"/>
      <c r="O18" s="585"/>
      <c r="P18" s="585"/>
      <c r="Q18" s="585"/>
      <c r="R18" s="585"/>
      <c r="S18" s="585"/>
      <c r="T18" s="585"/>
      <c r="X18" s="236">
        <f>+'Qty estimate'!A11</f>
        <v>24</v>
      </c>
      <c r="Y18" s="248">
        <f>+'Qty estimate'!B11</f>
        <v>95</v>
      </c>
      <c r="Z18" s="248">
        <f t="shared" si="0"/>
        <v>97.6</v>
      </c>
      <c r="AA18" s="237">
        <f>+'Qty estimate'!C11*'Input data'!D$28/100+100</f>
        <v>100.5</v>
      </c>
      <c r="AB18" s="236">
        <f t="shared" si="1"/>
        <v>100</v>
      </c>
      <c r="AC18" s="237">
        <f t="shared" si="2"/>
        <v>98.5</v>
      </c>
    </row>
    <row r="19" spans="1:29" ht="15">
      <c r="A19" s="494"/>
      <c r="B19" s="494" t="s">
        <v>258</v>
      </c>
      <c r="C19" s="513" t="s">
        <v>8</v>
      </c>
      <c r="D19" s="514">
        <f>'Design Nala Bund Drg &amp; Summary'!D13+'Design Nala Bund Drg &amp; Summary'!D8</f>
        <v>2.4</v>
      </c>
      <c r="F19" s="585"/>
      <c r="G19" s="585"/>
      <c r="H19" s="585"/>
      <c r="I19" s="585"/>
      <c r="J19" s="585"/>
      <c r="K19" s="585"/>
      <c r="L19" s="585"/>
      <c r="M19" s="585"/>
      <c r="N19" s="585"/>
      <c r="O19" s="585"/>
      <c r="P19" s="585"/>
      <c r="Q19" s="585"/>
      <c r="R19" s="585"/>
      <c r="S19" s="585"/>
      <c r="T19" s="585"/>
      <c r="X19" s="236">
        <f>+'Qty estimate'!A12</f>
        <v>28</v>
      </c>
      <c r="Y19" s="248">
        <f>+'Qty estimate'!B12</f>
        <v>95.1</v>
      </c>
      <c r="Z19" s="248">
        <f t="shared" si="0"/>
        <v>97.6</v>
      </c>
      <c r="AA19" s="237">
        <f>+'Qty estimate'!C12*'Input data'!D$28/100+100</f>
        <v>100.49</v>
      </c>
      <c r="AB19" s="236">
        <f>+AB18</f>
        <v>100</v>
      </c>
      <c r="AC19" s="237">
        <f t="shared" si="2"/>
        <v>98.5</v>
      </c>
    </row>
    <row r="20" spans="1:29" ht="15.75">
      <c r="A20" s="494"/>
      <c r="B20" s="494" t="s">
        <v>443</v>
      </c>
      <c r="C20" s="513" t="s">
        <v>207</v>
      </c>
      <c r="D20" s="515">
        <f>'Input data'!D27</f>
        <v>30</v>
      </c>
      <c r="F20" s="585"/>
      <c r="G20" s="585"/>
      <c r="H20" s="585"/>
      <c r="I20" s="585"/>
      <c r="J20" s="585"/>
      <c r="K20" s="585"/>
      <c r="L20" s="585"/>
      <c r="M20" s="585"/>
      <c r="N20" s="585"/>
      <c r="O20" s="585"/>
      <c r="P20" s="585"/>
      <c r="Q20" s="585"/>
      <c r="R20" s="585"/>
      <c r="S20" s="585"/>
      <c r="T20" s="585"/>
      <c r="X20" s="236">
        <f>+'Qty estimate'!A13</f>
        <v>32</v>
      </c>
      <c r="Y20" s="248">
        <f>+'Qty estimate'!B13</f>
        <v>95.4</v>
      </c>
      <c r="Z20" s="248">
        <f t="shared" si="0"/>
        <v>97.6</v>
      </c>
      <c r="AA20" s="237">
        <f>+'Qty estimate'!C13*'Input data'!D$28/100+100</f>
        <v>100.46</v>
      </c>
      <c r="AB20" s="236">
        <f>+AB19</f>
        <v>100</v>
      </c>
      <c r="AC20" s="237">
        <f t="shared" si="2"/>
        <v>98.5</v>
      </c>
    </row>
    <row r="21" spans="1:29" ht="15">
      <c r="A21" s="494"/>
      <c r="B21" s="494" t="s">
        <v>18</v>
      </c>
      <c r="C21" s="513" t="s">
        <v>8</v>
      </c>
      <c r="D21" s="514">
        <f>+MAX('Qty estimate'!C5:C20)</f>
        <v>5</v>
      </c>
      <c r="F21" s="585"/>
      <c r="G21" s="585"/>
      <c r="H21" s="585"/>
      <c r="I21" s="585"/>
      <c r="J21" s="585"/>
      <c r="K21" s="585"/>
      <c r="L21" s="585"/>
      <c r="M21" s="585"/>
      <c r="N21" s="585"/>
      <c r="O21" s="585"/>
      <c r="P21" s="585"/>
      <c r="Q21" s="585"/>
      <c r="R21" s="585"/>
      <c r="S21" s="585"/>
      <c r="T21" s="585"/>
      <c r="X21" s="236">
        <f>+'Qty estimate'!A14</f>
        <v>36</v>
      </c>
      <c r="Y21" s="248">
        <f>+'Qty estimate'!B14</f>
        <v>96.7</v>
      </c>
      <c r="Z21" s="248">
        <f t="shared" si="0"/>
        <v>97.6</v>
      </c>
      <c r="AA21" s="237">
        <f>+'Qty estimate'!C14*'Input data'!D$28/100+100</f>
        <v>100.33</v>
      </c>
      <c r="AB21" s="236">
        <f>+AB20</f>
        <v>100</v>
      </c>
      <c r="AC21" s="237">
        <f t="shared" si="2"/>
        <v>98.5</v>
      </c>
    </row>
    <row r="22" spans="1:29" ht="15">
      <c r="A22" s="494"/>
      <c r="B22" s="494" t="s">
        <v>19</v>
      </c>
      <c r="C22" s="513"/>
      <c r="D22" s="516">
        <f>'Input data'!D24</f>
        <v>2</v>
      </c>
      <c r="F22" s="585"/>
      <c r="G22" s="585"/>
      <c r="H22" s="585"/>
      <c r="I22" s="585"/>
      <c r="J22" s="585"/>
      <c r="K22" s="585"/>
      <c r="L22" s="585"/>
      <c r="M22" s="585"/>
      <c r="N22" s="585"/>
      <c r="O22" s="585"/>
      <c r="P22" s="585"/>
      <c r="Q22" s="585"/>
      <c r="R22" s="585"/>
      <c r="S22" s="585"/>
      <c r="T22" s="585"/>
      <c r="X22" s="236">
        <f>+'Qty estimate'!A15</f>
        <v>40</v>
      </c>
      <c r="Y22" s="248">
        <f>+'Qty estimate'!B15</f>
        <v>100</v>
      </c>
      <c r="Z22" s="248">
        <f t="shared" si="0"/>
        <v>97.6</v>
      </c>
      <c r="AA22" s="237">
        <f>+'Qty estimate'!C15*'Input data'!D$28/100+100</f>
        <v>100</v>
      </c>
      <c r="AB22" s="236">
        <f>+AB21</f>
        <v>100</v>
      </c>
      <c r="AC22" s="237">
        <f t="shared" si="2"/>
        <v>98.5</v>
      </c>
    </row>
    <row r="23" spans="1:29" ht="15">
      <c r="A23" s="494"/>
      <c r="B23" s="494" t="s">
        <v>20</v>
      </c>
      <c r="C23" s="513"/>
      <c r="D23" s="516">
        <f>'Input data'!D23</f>
        <v>3</v>
      </c>
      <c r="F23" s="585"/>
      <c r="G23" s="585"/>
      <c r="H23" s="585"/>
      <c r="I23" s="585"/>
      <c r="J23" s="585"/>
      <c r="K23" s="585"/>
      <c r="L23" s="585"/>
      <c r="M23" s="585"/>
      <c r="N23" s="585"/>
      <c r="O23" s="585"/>
      <c r="P23" s="585"/>
      <c r="Q23" s="585"/>
      <c r="R23" s="585"/>
      <c r="S23" s="585"/>
      <c r="T23" s="585"/>
      <c r="X23" s="248">
        <f>+'Qty estimate'!A16</f>
        <v>45</v>
      </c>
      <c r="Y23" s="248">
        <f>+'Qty estimate'!B16</f>
        <v>100.3</v>
      </c>
      <c r="Z23" s="248">
        <f t="shared" si="0"/>
        <v>97.6</v>
      </c>
      <c r="AA23" s="237"/>
      <c r="AC23" s="237">
        <f t="shared" si="2"/>
        <v>98.5</v>
      </c>
    </row>
    <row r="24" spans="1:29" ht="17.25" customHeight="1">
      <c r="A24" s="495"/>
      <c r="B24" s="496"/>
      <c r="C24" s="513"/>
      <c r="D24" s="513"/>
      <c r="F24" s="585"/>
      <c r="G24" s="585"/>
      <c r="H24" s="585"/>
      <c r="I24" s="585"/>
      <c r="J24" s="585"/>
      <c r="K24" s="585"/>
      <c r="L24" s="585"/>
      <c r="M24" s="585"/>
      <c r="N24" s="585"/>
      <c r="O24" s="585"/>
      <c r="P24" s="585"/>
      <c r="Q24" s="585"/>
      <c r="R24" s="585"/>
      <c r="S24" s="585"/>
      <c r="T24" s="585"/>
      <c r="X24" s="248">
        <f>+'Qty estimate'!A17+1</f>
        <v>46</v>
      </c>
      <c r="Y24" s="248">
        <f>+'Qty estimate'!B17</f>
        <v>97.6</v>
      </c>
      <c r="Z24" s="248">
        <f t="shared" si="0"/>
        <v>97.6</v>
      </c>
      <c r="AA24" s="237"/>
      <c r="AC24" s="237">
        <f t="shared" si="2"/>
        <v>98.5</v>
      </c>
    </row>
    <row r="25" spans="1:29" ht="17.25" customHeight="1">
      <c r="A25" s="496"/>
      <c r="B25" s="497" t="s">
        <v>341</v>
      </c>
      <c r="C25" s="517"/>
      <c r="D25" s="517"/>
      <c r="F25" s="585"/>
      <c r="G25" s="585"/>
      <c r="H25" s="585"/>
      <c r="I25" s="585"/>
      <c r="J25" s="585"/>
      <c r="K25" s="585"/>
      <c r="L25" s="585"/>
      <c r="M25" s="585"/>
      <c r="N25" s="585"/>
      <c r="O25" s="585"/>
      <c r="P25" s="585"/>
      <c r="Q25" s="585"/>
      <c r="R25" s="585"/>
      <c r="S25" s="585"/>
      <c r="T25" s="585"/>
      <c r="X25" s="248">
        <f>+'Qty estimate'!A18+1</f>
        <v>52.263359220412724</v>
      </c>
      <c r="Y25" s="248">
        <f>+'Qty estimate'!B18</f>
        <v>97.6</v>
      </c>
      <c r="Z25" s="248">
        <f>+Z21</f>
        <v>97.6</v>
      </c>
      <c r="AA25" s="237"/>
      <c r="AC25" s="237">
        <f>Z25+D$8</f>
        <v>98.5</v>
      </c>
    </row>
    <row r="26" spans="1:29" ht="17.25" customHeight="1">
      <c r="A26" s="494"/>
      <c r="B26" s="494" t="s">
        <v>44</v>
      </c>
      <c r="C26" s="513" t="s">
        <v>0</v>
      </c>
      <c r="D26" s="513" t="s">
        <v>1</v>
      </c>
      <c r="F26" s="585"/>
      <c r="G26" s="585"/>
      <c r="H26" s="585"/>
      <c r="I26" s="585"/>
      <c r="J26" s="585"/>
      <c r="K26" s="585"/>
      <c r="L26" s="585"/>
      <c r="M26" s="585"/>
      <c r="N26" s="585"/>
      <c r="O26" s="585"/>
      <c r="P26" s="585"/>
      <c r="Q26" s="585"/>
      <c r="R26" s="585"/>
      <c r="S26" s="585"/>
      <c r="T26" s="585"/>
      <c r="X26" s="248">
        <f>+'Qty estimate'!A19+2</f>
        <v>53.263359220412724</v>
      </c>
      <c r="Y26" s="248">
        <f>+'Qty estimate'!B19</f>
        <v>100.3</v>
      </c>
      <c r="Z26" s="248"/>
      <c r="AA26" s="237"/>
      <c r="AC26" s="237"/>
    </row>
    <row r="27" spans="1:29" ht="17.25" customHeight="1">
      <c r="A27" s="496">
        <v>1</v>
      </c>
      <c r="B27" s="496" t="s">
        <v>192</v>
      </c>
      <c r="C27" s="513" t="s">
        <v>6</v>
      </c>
      <c r="D27" s="514">
        <f>+'Qty estimate'!S21*0.15</f>
        <v>128.54999999999998</v>
      </c>
      <c r="F27" s="585"/>
      <c r="G27" s="585"/>
      <c r="H27" s="585"/>
      <c r="I27" s="585"/>
      <c r="J27" s="585"/>
      <c r="K27" s="585"/>
      <c r="L27" s="585"/>
      <c r="M27" s="585"/>
      <c r="N27" s="585"/>
      <c r="O27" s="585"/>
      <c r="P27" s="585"/>
      <c r="Q27" s="585"/>
      <c r="R27" s="585"/>
      <c r="S27" s="585"/>
      <c r="T27" s="585"/>
      <c r="X27" s="248">
        <f>X26+5</f>
        <v>58.263359220412724</v>
      </c>
      <c r="Y27" s="248">
        <f>+Y26</f>
        <v>100.3</v>
      </c>
      <c r="Z27" s="248"/>
      <c r="AA27" s="237"/>
      <c r="AC27" s="237"/>
    </row>
    <row r="28" spans="1:29" ht="17.25" customHeight="1">
      <c r="A28" s="494">
        <v>2</v>
      </c>
      <c r="B28" s="494" t="s">
        <v>22</v>
      </c>
      <c r="C28" s="513"/>
      <c r="D28" s="513"/>
      <c r="F28" s="585"/>
      <c r="G28" s="585"/>
      <c r="H28" s="585"/>
      <c r="I28" s="585"/>
      <c r="J28" s="585"/>
      <c r="K28" s="585"/>
      <c r="L28" s="585"/>
      <c r="M28" s="585"/>
      <c r="N28" s="585"/>
      <c r="O28" s="585"/>
      <c r="P28" s="585"/>
      <c r="Q28" s="585"/>
      <c r="R28" s="585"/>
      <c r="S28" s="585"/>
      <c r="T28" s="585"/>
    </row>
    <row r="29" spans="1:29" ht="15">
      <c r="A29" s="494"/>
      <c r="B29" s="494" t="s">
        <v>2</v>
      </c>
      <c r="C29" s="513" t="s">
        <v>23</v>
      </c>
      <c r="D29" s="515">
        <f>+D14</f>
        <v>3</v>
      </c>
      <c r="F29" s="585"/>
      <c r="G29" s="585"/>
      <c r="H29" s="585"/>
      <c r="I29" s="585"/>
      <c r="J29" s="585"/>
      <c r="K29" s="585"/>
      <c r="L29" s="585"/>
      <c r="M29" s="585"/>
      <c r="N29" s="585"/>
      <c r="O29" s="585"/>
      <c r="P29" s="585"/>
      <c r="Q29" s="585"/>
      <c r="R29" s="585"/>
      <c r="S29" s="585"/>
      <c r="T29" s="585"/>
      <c r="Y29" s="248"/>
    </row>
    <row r="30" spans="1:29" ht="31.5" customHeight="1">
      <c r="A30" s="494"/>
      <c r="B30" s="494" t="s">
        <v>24</v>
      </c>
      <c r="C30" s="513" t="s">
        <v>23</v>
      </c>
      <c r="D30" s="515">
        <f>'Input data'!D21</f>
        <v>1</v>
      </c>
      <c r="F30" s="585"/>
      <c r="G30" s="585"/>
      <c r="H30" s="585"/>
      <c r="I30" s="585"/>
      <c r="J30" s="585"/>
      <c r="K30" s="585"/>
      <c r="L30" s="585"/>
      <c r="M30" s="585"/>
      <c r="N30" s="585"/>
      <c r="O30" s="585"/>
      <c r="P30" s="585"/>
      <c r="Q30" s="585"/>
      <c r="R30" s="585"/>
      <c r="S30" s="585"/>
      <c r="T30" s="585"/>
      <c r="Y30" s="248"/>
    </row>
    <row r="31" spans="1:29" ht="15">
      <c r="A31" s="494"/>
      <c r="B31" s="494" t="s">
        <v>25</v>
      </c>
      <c r="C31" s="513" t="s">
        <v>23</v>
      </c>
      <c r="D31" s="515">
        <f>+D17</f>
        <v>1.5</v>
      </c>
      <c r="F31" s="585"/>
      <c r="G31" s="585"/>
      <c r="H31" s="585"/>
      <c r="I31" s="585"/>
      <c r="J31" s="585"/>
      <c r="K31" s="585"/>
      <c r="L31" s="585"/>
      <c r="M31" s="585"/>
      <c r="N31" s="585"/>
      <c r="O31" s="585"/>
      <c r="P31" s="585"/>
      <c r="Q31" s="585"/>
      <c r="R31" s="585"/>
      <c r="S31" s="585"/>
      <c r="T31" s="585"/>
      <c r="X31" s="237"/>
      <c r="Y31" s="248"/>
    </row>
    <row r="32" spans="1:29" ht="15">
      <c r="A32" s="494"/>
      <c r="B32" s="494" t="s">
        <v>26</v>
      </c>
      <c r="C32" s="513" t="s">
        <v>23</v>
      </c>
      <c r="D32" s="513">
        <f>'Input data'!D42</f>
        <v>0.5</v>
      </c>
      <c r="F32" s="585"/>
      <c r="G32" s="585"/>
      <c r="H32" s="585"/>
      <c r="I32" s="585"/>
      <c r="J32" s="585"/>
      <c r="K32" s="585"/>
      <c r="L32" s="585"/>
      <c r="M32" s="585"/>
      <c r="N32" s="585"/>
      <c r="O32" s="585"/>
      <c r="P32" s="585"/>
      <c r="Q32" s="585"/>
      <c r="R32" s="585"/>
      <c r="S32" s="585"/>
      <c r="T32" s="585"/>
      <c r="X32" s="237"/>
      <c r="Y32" s="248"/>
    </row>
    <row r="33" spans="1:31" ht="15">
      <c r="A33" s="494"/>
      <c r="B33" s="494" t="s">
        <v>27</v>
      </c>
      <c r="C33" s="513" t="s">
        <v>23</v>
      </c>
      <c r="D33" s="515">
        <f>+D31-D32</f>
        <v>1</v>
      </c>
      <c r="F33" s="585"/>
      <c r="G33" s="585"/>
      <c r="H33" s="585"/>
      <c r="I33" s="585"/>
      <c r="J33" s="585"/>
      <c r="K33" s="585"/>
      <c r="L33" s="585"/>
      <c r="M33" s="585"/>
      <c r="N33" s="585"/>
      <c r="O33" s="585"/>
      <c r="P33" s="585"/>
      <c r="Q33" s="585"/>
      <c r="R33" s="585"/>
      <c r="S33" s="585"/>
      <c r="T33" s="585"/>
      <c r="X33" s="237"/>
      <c r="Y33" s="248"/>
    </row>
    <row r="34" spans="1:31" ht="15">
      <c r="A34" s="496"/>
      <c r="B34" s="496" t="s">
        <v>45</v>
      </c>
      <c r="C34" s="513" t="s">
        <v>5</v>
      </c>
      <c r="D34" s="518">
        <f>+(D29+(D29-((D29-D30)/D31)*D32))*D32/2</f>
        <v>1.3333333333333335</v>
      </c>
      <c r="F34" s="585"/>
      <c r="G34" s="585"/>
      <c r="H34" s="585"/>
      <c r="I34" s="585"/>
      <c r="J34" s="585"/>
      <c r="K34" s="585"/>
      <c r="L34" s="585"/>
      <c r="M34" s="585"/>
      <c r="N34" s="585"/>
      <c r="O34" s="585"/>
      <c r="P34" s="585"/>
      <c r="Q34" s="585"/>
      <c r="R34" s="585"/>
      <c r="S34" s="585"/>
      <c r="T34" s="585"/>
      <c r="X34" s="237"/>
      <c r="Y34" s="248"/>
    </row>
    <row r="35" spans="1:31" ht="15">
      <c r="A35" s="496"/>
      <c r="B35" s="496" t="s">
        <v>46</v>
      </c>
      <c r="C35" s="513" t="s">
        <v>5</v>
      </c>
      <c r="D35" s="518">
        <f>+((D30+(((D29-D30)/D31)*D33)+D30)/2)*D33</f>
        <v>1.6666666666666665</v>
      </c>
      <c r="F35" s="585"/>
      <c r="G35" s="585"/>
      <c r="H35" s="585"/>
      <c r="I35" s="585"/>
      <c r="J35" s="585"/>
      <c r="K35" s="585"/>
      <c r="L35" s="585"/>
      <c r="M35" s="585"/>
      <c r="N35" s="585"/>
      <c r="O35" s="585"/>
      <c r="P35" s="585"/>
      <c r="Q35" s="585"/>
      <c r="R35" s="585"/>
      <c r="S35" s="585"/>
      <c r="T35" s="585"/>
    </row>
    <row r="36" spans="1:31" ht="15">
      <c r="A36" s="496"/>
      <c r="B36" s="496" t="s">
        <v>28</v>
      </c>
      <c r="C36" s="513" t="s">
        <v>23</v>
      </c>
      <c r="D36" s="514">
        <f>'Input data'!D19</f>
        <v>40</v>
      </c>
      <c r="F36" s="585"/>
      <c r="G36" s="585"/>
      <c r="H36" s="585"/>
      <c r="I36" s="585"/>
      <c r="J36" s="585"/>
      <c r="K36" s="585"/>
      <c r="L36" s="585"/>
      <c r="M36" s="585"/>
      <c r="N36" s="585"/>
      <c r="O36" s="585"/>
      <c r="P36" s="585"/>
      <c r="Q36" s="585"/>
      <c r="R36" s="585"/>
      <c r="S36" s="585"/>
      <c r="T36" s="585"/>
    </row>
    <row r="37" spans="1:31" ht="15.75">
      <c r="A37" s="496"/>
      <c r="B37" s="496" t="s">
        <v>29</v>
      </c>
      <c r="C37" s="513" t="s">
        <v>6</v>
      </c>
      <c r="D37" s="519">
        <f>+D38+D39</f>
        <v>120</v>
      </c>
      <c r="F37" s="585"/>
      <c r="G37" s="585"/>
      <c r="H37" s="585"/>
      <c r="I37" s="585"/>
      <c r="J37" s="585"/>
      <c r="K37" s="585"/>
      <c r="L37" s="585"/>
      <c r="M37" s="585"/>
      <c r="N37" s="585"/>
      <c r="O37" s="585"/>
      <c r="P37" s="585"/>
      <c r="Q37" s="585"/>
      <c r="R37" s="585"/>
      <c r="S37" s="585"/>
      <c r="T37" s="585"/>
    </row>
    <row r="38" spans="1:31" ht="22.5" customHeight="1">
      <c r="A38" s="496"/>
      <c r="B38" s="496" t="s">
        <v>30</v>
      </c>
      <c r="C38" s="513" t="s">
        <v>6</v>
      </c>
      <c r="D38" s="514">
        <f>+D34*D36</f>
        <v>53.333333333333343</v>
      </c>
      <c r="F38" s="585"/>
      <c r="G38" s="585"/>
      <c r="H38" s="585"/>
      <c r="I38" s="585"/>
      <c r="J38" s="585"/>
      <c r="K38" s="585"/>
      <c r="L38" s="585"/>
      <c r="M38" s="585"/>
      <c r="N38" s="585"/>
      <c r="O38" s="585"/>
      <c r="P38" s="585"/>
      <c r="Q38" s="585"/>
      <c r="R38" s="585"/>
      <c r="S38" s="585"/>
      <c r="T38" s="585"/>
      <c r="AB38" s="590" t="s">
        <v>293</v>
      </c>
      <c r="AC38" s="590"/>
      <c r="AD38" s="590"/>
      <c r="AE38" s="590"/>
    </row>
    <row r="39" spans="1:31" ht="15">
      <c r="A39" s="496"/>
      <c r="B39" s="496" t="s">
        <v>31</v>
      </c>
      <c r="C39" s="513" t="s">
        <v>6</v>
      </c>
      <c r="D39" s="514">
        <f>+D35*D36</f>
        <v>66.666666666666657</v>
      </c>
      <c r="F39" s="585"/>
      <c r="G39" s="585"/>
      <c r="H39" s="585"/>
      <c r="I39" s="585"/>
      <c r="J39" s="585"/>
      <c r="K39" s="585"/>
      <c r="L39" s="585"/>
      <c r="M39" s="585"/>
      <c r="N39" s="585"/>
      <c r="O39" s="585"/>
      <c r="P39" s="585"/>
      <c r="Q39" s="585"/>
      <c r="R39" s="585"/>
      <c r="S39" s="585"/>
      <c r="T39" s="585"/>
    </row>
    <row r="40" spans="1:31" ht="15">
      <c r="A40" s="496">
        <v>3</v>
      </c>
      <c r="B40" s="496" t="s">
        <v>32</v>
      </c>
      <c r="C40" s="513" t="s">
        <v>6</v>
      </c>
      <c r="D40" s="514">
        <f>+D37</f>
        <v>120</v>
      </c>
      <c r="F40" s="585"/>
      <c r="G40" s="585"/>
      <c r="H40" s="585"/>
      <c r="I40" s="585"/>
      <c r="J40" s="585"/>
      <c r="K40" s="585"/>
      <c r="L40" s="585"/>
      <c r="M40" s="585"/>
      <c r="N40" s="585"/>
      <c r="O40" s="585"/>
      <c r="P40" s="585"/>
      <c r="Q40" s="585"/>
      <c r="R40" s="585"/>
      <c r="S40" s="585"/>
      <c r="T40" s="585"/>
    </row>
    <row r="41" spans="1:31" ht="15">
      <c r="A41" s="496"/>
      <c r="B41" s="496" t="str">
        <f>+B44</f>
        <v>Transport of Clay 3.0 km Lead</v>
      </c>
      <c r="C41" s="513" t="s">
        <v>6</v>
      </c>
      <c r="D41" s="514">
        <f>+D40</f>
        <v>120</v>
      </c>
      <c r="F41" s="585"/>
      <c r="G41" s="585"/>
      <c r="H41" s="585"/>
      <c r="I41" s="585"/>
      <c r="J41" s="585"/>
      <c r="K41" s="585"/>
      <c r="L41" s="585"/>
      <c r="M41" s="585"/>
      <c r="N41" s="585"/>
      <c r="O41" s="585"/>
      <c r="P41" s="585"/>
      <c r="Q41" s="585"/>
      <c r="R41" s="585"/>
      <c r="S41" s="585"/>
      <c r="T41" s="585"/>
    </row>
    <row r="42" spans="1:31" ht="12.75" customHeight="1">
      <c r="A42" s="496"/>
      <c r="B42" s="496" t="s">
        <v>315</v>
      </c>
      <c r="C42" s="513" t="s">
        <v>6</v>
      </c>
      <c r="D42" s="514">
        <f>+D41</f>
        <v>120</v>
      </c>
      <c r="F42" s="585"/>
      <c r="G42" s="585"/>
      <c r="H42" s="585"/>
      <c r="I42" s="585"/>
      <c r="J42" s="585"/>
      <c r="K42" s="585"/>
      <c r="L42" s="585"/>
      <c r="M42" s="585"/>
      <c r="N42" s="585"/>
      <c r="O42" s="585"/>
      <c r="P42" s="585"/>
      <c r="Q42" s="585"/>
      <c r="R42" s="585"/>
      <c r="S42" s="585"/>
      <c r="T42" s="585"/>
      <c r="AD42" s="1" t="s">
        <v>279</v>
      </c>
    </row>
    <row r="43" spans="1:31" ht="15.75">
      <c r="A43" s="496">
        <v>4</v>
      </c>
      <c r="B43" s="496" t="s">
        <v>342</v>
      </c>
      <c r="C43" s="513" t="s">
        <v>6</v>
      </c>
      <c r="D43" s="519">
        <f>+'Qty estimate'!J21</f>
        <v>298.8</v>
      </c>
      <c r="F43" s="585"/>
      <c r="G43" s="585"/>
      <c r="H43" s="585"/>
      <c r="I43" s="585"/>
      <c r="J43" s="585"/>
      <c r="K43" s="585"/>
      <c r="L43" s="585"/>
      <c r="M43" s="585"/>
      <c r="N43" s="585"/>
      <c r="O43" s="585"/>
      <c r="P43" s="585"/>
      <c r="Q43" s="585"/>
      <c r="R43" s="585"/>
      <c r="S43" s="585"/>
      <c r="T43" s="585"/>
      <c r="W43" s="236" t="s">
        <v>185</v>
      </c>
      <c r="X43" s="236" t="s">
        <v>186</v>
      </c>
      <c r="Y43" s="236" t="s">
        <v>188</v>
      </c>
      <c r="Z43" s="236" t="s">
        <v>188</v>
      </c>
      <c r="AA43" s="236" t="s">
        <v>187</v>
      </c>
      <c r="AB43" s="236" t="s">
        <v>278</v>
      </c>
      <c r="AD43" s="236" t="s">
        <v>280</v>
      </c>
    </row>
    <row r="44" spans="1:31" ht="15">
      <c r="A44" s="496"/>
      <c r="B44" s="496" t="s">
        <v>312</v>
      </c>
      <c r="C44" s="513" t="s">
        <v>6</v>
      </c>
      <c r="D44" s="514">
        <f>+D43</f>
        <v>298.8</v>
      </c>
      <c r="F44" s="585"/>
      <c r="G44" s="585"/>
      <c r="H44" s="585"/>
      <c r="I44" s="585"/>
      <c r="J44" s="585"/>
      <c r="K44" s="585"/>
      <c r="L44" s="585"/>
      <c r="M44" s="585"/>
      <c r="N44" s="585"/>
      <c r="O44" s="585"/>
      <c r="P44" s="585"/>
      <c r="Q44" s="585"/>
      <c r="R44" s="585"/>
      <c r="S44" s="585"/>
      <c r="T44" s="585"/>
      <c r="W44" s="2">
        <f t="shared" ref="W44:W50" si="3">+X12</f>
        <v>0</v>
      </c>
      <c r="X44" s="2">
        <f>+'Qty estimate'!C5*D$23+Y44</f>
        <v>1.5</v>
      </c>
      <c r="Y44" s="2">
        <f>+D14/2</f>
        <v>1.5</v>
      </c>
      <c r="Z44" s="2">
        <f>-D14/2</f>
        <v>-1.5</v>
      </c>
      <c r="AA44" s="2">
        <f>-'Qty estimate'!C5*D$22+Z44</f>
        <v>-1.5</v>
      </c>
      <c r="AB44" s="236">
        <f>AA44+AD44</f>
        <v>-1.5</v>
      </c>
      <c r="AD44" s="237">
        <f>(('Qty estimate'!C5/(4*'Input data'!$D$24)+('Qty estimate'!C5*'Input data'!$D$24)/4))</f>
        <v>0</v>
      </c>
    </row>
    <row r="45" spans="1:31" ht="15">
      <c r="A45" s="496"/>
      <c r="B45" s="496" t="str">
        <f>+B42</f>
        <v>Transportation of water 2 km Lead rate as per sor</v>
      </c>
      <c r="C45" s="513" t="s">
        <v>6</v>
      </c>
      <c r="D45" s="514">
        <f>+D43</f>
        <v>298.8</v>
      </c>
      <c r="F45" s="585"/>
      <c r="G45" s="585"/>
      <c r="H45" s="585"/>
      <c r="I45" s="585"/>
      <c r="J45" s="585"/>
      <c r="K45" s="585"/>
      <c r="L45" s="585"/>
      <c r="M45" s="585"/>
      <c r="N45" s="585"/>
      <c r="O45" s="585"/>
      <c r="P45" s="585"/>
      <c r="Q45" s="585"/>
      <c r="R45" s="585"/>
      <c r="S45" s="585"/>
      <c r="T45" s="585"/>
      <c r="W45" s="2">
        <f t="shared" si="3"/>
        <v>4</v>
      </c>
      <c r="X45" s="2">
        <f>+'Qty estimate'!C6*D$23+Y45</f>
        <v>10.8</v>
      </c>
      <c r="Y45" s="2">
        <f>+Y44</f>
        <v>1.5</v>
      </c>
      <c r="Z45" s="2">
        <f>+Z44</f>
        <v>-1.5</v>
      </c>
      <c r="AA45" s="2">
        <f>-'Qty estimate'!C6*D$22+Z45</f>
        <v>-7.7</v>
      </c>
      <c r="AB45" s="237">
        <f t="shared" ref="AB45:AB54" si="4">AA45+AD45</f>
        <v>-5.7625000000000002</v>
      </c>
      <c r="AD45" s="237">
        <f>(('Qty estimate'!C6/(4*'Input data'!$D$24)+('Qty estimate'!C6*'Input data'!$D$24)/4))</f>
        <v>1.9375</v>
      </c>
    </row>
    <row r="46" spans="1:31" ht="15.75">
      <c r="A46" s="496">
        <v>5</v>
      </c>
      <c r="B46" s="496" t="s">
        <v>313</v>
      </c>
      <c r="C46" s="513" t="s">
        <v>6</v>
      </c>
      <c r="D46" s="519">
        <f>+'Qty estimate'!G21</f>
        <v>2140.0000000000005</v>
      </c>
      <c r="F46" s="585"/>
      <c r="G46" s="585"/>
      <c r="H46" s="585"/>
      <c r="I46" s="585"/>
      <c r="J46" s="585"/>
      <c r="K46" s="585"/>
      <c r="L46" s="585"/>
      <c r="M46" s="585"/>
      <c r="N46" s="585"/>
      <c r="O46" s="585"/>
      <c r="P46" s="585"/>
      <c r="Q46" s="585"/>
      <c r="R46" s="585"/>
      <c r="S46" s="585"/>
      <c r="T46" s="585"/>
      <c r="W46" s="2">
        <f t="shared" si="3"/>
        <v>8</v>
      </c>
      <c r="X46" s="2">
        <f>+'Qty estimate'!C7*D$23+Y46</f>
        <v>12.899999999999999</v>
      </c>
      <c r="Y46" s="2">
        <f t="shared" ref="Y46:Y54" si="5">+Y45</f>
        <v>1.5</v>
      </c>
      <c r="Z46" s="2">
        <f t="shared" ref="Z46:Z54" si="6">+Z45</f>
        <v>-1.5</v>
      </c>
      <c r="AA46" s="2">
        <f>-'Qty estimate'!C7*D$22+Z46</f>
        <v>-9.1</v>
      </c>
      <c r="AB46" s="237">
        <f t="shared" si="4"/>
        <v>-6.7249999999999996</v>
      </c>
      <c r="AD46" s="237">
        <f>(('Qty estimate'!C7/(4*'Input data'!$D$24)+('Qty estimate'!C7*'Input data'!$D$24)/4))</f>
        <v>2.375</v>
      </c>
    </row>
    <row r="47" spans="1:31" ht="15">
      <c r="A47" s="496"/>
      <c r="B47" s="496" t="s">
        <v>314</v>
      </c>
      <c r="C47" s="513" t="s">
        <v>6</v>
      </c>
      <c r="D47" s="514">
        <f>D46-D43</f>
        <v>1841.2000000000005</v>
      </c>
      <c r="F47" s="585"/>
      <c r="G47" s="585"/>
      <c r="H47" s="585"/>
      <c r="I47" s="585"/>
      <c r="J47" s="585"/>
      <c r="K47" s="585"/>
      <c r="L47" s="585"/>
      <c r="M47" s="585"/>
      <c r="N47" s="585"/>
      <c r="O47" s="585"/>
      <c r="P47" s="585"/>
      <c r="Q47" s="585"/>
      <c r="R47" s="585"/>
      <c r="S47" s="585"/>
      <c r="T47" s="585"/>
      <c r="W47" s="2">
        <f t="shared" si="3"/>
        <v>12</v>
      </c>
      <c r="X47" s="2">
        <f>+'Qty estimate'!C8*D$23+Y47</f>
        <v>14.100000000000001</v>
      </c>
      <c r="Y47" s="2">
        <f t="shared" si="5"/>
        <v>1.5</v>
      </c>
      <c r="Z47" s="2">
        <f t="shared" si="6"/>
        <v>-1.5</v>
      </c>
      <c r="AA47" s="2">
        <f>-'Qty estimate'!C8*D$22+Z47</f>
        <v>-9.9</v>
      </c>
      <c r="AB47" s="237">
        <f t="shared" si="4"/>
        <v>-7.2750000000000004</v>
      </c>
      <c r="AD47" s="237">
        <f>(('Qty estimate'!C8/(4*'Input data'!$D$24)+('Qty estimate'!C8*'Input data'!$D$24)/4))</f>
        <v>2.625</v>
      </c>
    </row>
    <row r="48" spans="1:31" ht="15">
      <c r="A48" s="496"/>
      <c r="B48" s="498" t="s">
        <v>316</v>
      </c>
      <c r="C48" s="520" t="s">
        <v>6</v>
      </c>
      <c r="D48" s="514">
        <f>+D47*0.7</f>
        <v>1288.8400000000004</v>
      </c>
      <c r="F48" s="585"/>
      <c r="G48" s="585"/>
      <c r="H48" s="585"/>
      <c r="I48" s="585"/>
      <c r="J48" s="585"/>
      <c r="K48" s="585"/>
      <c r="L48" s="585"/>
      <c r="M48" s="585"/>
      <c r="N48" s="585"/>
      <c r="O48" s="585"/>
      <c r="P48" s="585"/>
      <c r="Q48" s="585"/>
      <c r="R48" s="585"/>
      <c r="S48" s="585"/>
      <c r="T48" s="585"/>
      <c r="W48" s="2">
        <f t="shared" si="3"/>
        <v>16</v>
      </c>
      <c r="X48" s="2">
        <f>+'Qty estimate'!C9*D$23+Y48</f>
        <v>15.299999999999999</v>
      </c>
      <c r="Y48" s="2">
        <f t="shared" si="5"/>
        <v>1.5</v>
      </c>
      <c r="Z48" s="2">
        <f t="shared" si="6"/>
        <v>-1.5</v>
      </c>
      <c r="AA48" s="2">
        <f>-'Qty estimate'!C9*D$22+Z48</f>
        <v>-10.7</v>
      </c>
      <c r="AB48" s="237">
        <f t="shared" si="4"/>
        <v>-7.8249999999999993</v>
      </c>
      <c r="AD48" s="237">
        <f>(('Qty estimate'!C9/(4*'Input data'!$D$24)+('Qty estimate'!C9*'Input data'!$D$24)/4))</f>
        <v>2.875</v>
      </c>
    </row>
    <row r="49" spans="1:30" ht="15">
      <c r="A49" s="496"/>
      <c r="B49" s="498" t="s">
        <v>317</v>
      </c>
      <c r="C49" s="521" t="s">
        <v>6</v>
      </c>
      <c r="D49" s="514">
        <f>+D47-D48</f>
        <v>552.36000000000013</v>
      </c>
      <c r="F49" s="585"/>
      <c r="G49" s="585"/>
      <c r="H49" s="585"/>
      <c r="I49" s="585"/>
      <c r="J49" s="585"/>
      <c r="K49" s="585"/>
      <c r="L49" s="585"/>
      <c r="M49" s="585"/>
      <c r="N49" s="585"/>
      <c r="O49" s="585"/>
      <c r="P49" s="585"/>
      <c r="Q49" s="585"/>
      <c r="R49" s="585"/>
      <c r="S49" s="585"/>
      <c r="T49" s="585"/>
      <c r="W49" s="2">
        <f t="shared" si="3"/>
        <v>20</v>
      </c>
      <c r="X49" s="2">
        <f>+'Qty estimate'!C10*D$23+Y49</f>
        <v>16.200000000000003</v>
      </c>
      <c r="Y49" s="2">
        <f t="shared" si="5"/>
        <v>1.5</v>
      </c>
      <c r="Z49" s="2">
        <f t="shared" si="6"/>
        <v>-1.5</v>
      </c>
      <c r="AA49" s="2">
        <f>-'Qty estimate'!C10*D$22+Z49</f>
        <v>-11.3</v>
      </c>
      <c r="AB49" s="237">
        <f t="shared" si="4"/>
        <v>-8.2375000000000007</v>
      </c>
      <c r="AD49" s="237">
        <f>(('Qty estimate'!C10/(4*'Input data'!$D$24)+('Qty estimate'!C10*'Input data'!$D$24)/4))</f>
        <v>3.0625</v>
      </c>
    </row>
    <row r="50" spans="1:30" ht="33" customHeight="1">
      <c r="A50" s="496">
        <v>6</v>
      </c>
      <c r="B50" s="499" t="s">
        <v>271</v>
      </c>
      <c r="C50" s="513" t="s">
        <v>96</v>
      </c>
      <c r="D50" s="519">
        <f>+'Qty estimate'!M21</f>
        <v>320.36285495277059</v>
      </c>
      <c r="F50" s="585"/>
      <c r="G50" s="585"/>
      <c r="H50" s="585"/>
      <c r="I50" s="585"/>
      <c r="J50" s="585"/>
      <c r="K50" s="585"/>
      <c r="L50" s="585"/>
      <c r="M50" s="585"/>
      <c r="N50" s="585"/>
      <c r="O50" s="585"/>
      <c r="P50" s="585"/>
      <c r="Q50" s="585"/>
      <c r="R50" s="585"/>
      <c r="S50" s="585"/>
      <c r="T50" s="585"/>
      <c r="W50" s="2">
        <f t="shared" si="3"/>
        <v>24</v>
      </c>
      <c r="X50" s="2">
        <f>+'Qty estimate'!C11*D$23+Y50</f>
        <v>16.5</v>
      </c>
      <c r="Y50" s="2">
        <f t="shared" si="5"/>
        <v>1.5</v>
      </c>
      <c r="Z50" s="2">
        <f t="shared" si="6"/>
        <v>-1.5</v>
      </c>
      <c r="AA50" s="2">
        <f>-'Qty estimate'!C11*D$22+Z50</f>
        <v>-11.5</v>
      </c>
      <c r="AB50" s="237">
        <f t="shared" si="4"/>
        <v>-8.375</v>
      </c>
      <c r="AD50" s="237">
        <f>(('Qty estimate'!C11/(4*'Input data'!$D$24)+('Qty estimate'!C11*'Input data'!$D$24)/4))</f>
        <v>3.125</v>
      </c>
    </row>
    <row r="51" spans="1:30" ht="12.75" customHeight="1">
      <c r="A51" s="496">
        <v>7</v>
      </c>
      <c r="B51" s="499" t="s">
        <v>180</v>
      </c>
      <c r="C51" s="513" t="s">
        <v>96</v>
      </c>
      <c r="D51" s="519">
        <f>'Qty estimate'!V21</f>
        <v>329.59641988346903</v>
      </c>
      <c r="F51" s="585"/>
      <c r="G51" s="585"/>
      <c r="H51" s="585"/>
      <c r="I51" s="585"/>
      <c r="J51" s="585"/>
      <c r="K51" s="585"/>
      <c r="L51" s="585"/>
      <c r="M51" s="585"/>
      <c r="N51" s="585"/>
      <c r="O51" s="585"/>
      <c r="P51" s="585"/>
      <c r="Q51" s="585"/>
      <c r="R51" s="585"/>
      <c r="S51" s="585"/>
      <c r="T51" s="585"/>
      <c r="W51" s="2">
        <f>+X19</f>
        <v>28</v>
      </c>
      <c r="X51" s="2">
        <f>+'Qty estimate'!C12*D$23+Y51</f>
        <v>16.200000000000003</v>
      </c>
      <c r="Y51" s="2">
        <f t="shared" si="5"/>
        <v>1.5</v>
      </c>
      <c r="Z51" s="2">
        <f t="shared" si="6"/>
        <v>-1.5</v>
      </c>
      <c r="AA51" s="2">
        <f>-'Qty estimate'!C12*D$22+Z51</f>
        <v>-11.3</v>
      </c>
      <c r="AB51" s="237">
        <f t="shared" si="4"/>
        <v>-8.2375000000000007</v>
      </c>
      <c r="AD51" s="237">
        <f>(('Qty estimate'!C12/(4*'Input data'!$D$24)+('Qty estimate'!C12*'Input data'!$D$24)/4))</f>
        <v>3.0625</v>
      </c>
    </row>
    <row r="52" spans="1:30" ht="15.75">
      <c r="A52" s="496">
        <v>8</v>
      </c>
      <c r="B52" s="496" t="s">
        <v>47</v>
      </c>
      <c r="C52" s="513" t="s">
        <v>6</v>
      </c>
      <c r="D52" s="519">
        <f>+'Qty estimate'!P21</f>
        <v>52.475000000000001</v>
      </c>
      <c r="F52" s="585"/>
      <c r="G52" s="585"/>
      <c r="H52" s="585"/>
      <c r="I52" s="585"/>
      <c r="J52" s="585"/>
      <c r="K52" s="585"/>
      <c r="L52" s="585"/>
      <c r="M52" s="585"/>
      <c r="N52" s="585"/>
      <c r="O52" s="585"/>
      <c r="P52" s="585"/>
      <c r="Q52" s="585"/>
      <c r="R52" s="585"/>
      <c r="S52" s="585"/>
      <c r="T52" s="585"/>
      <c r="W52" s="2">
        <f>+X20</f>
        <v>32</v>
      </c>
      <c r="X52" s="2">
        <f>+'Qty estimate'!C13*D$23+Y52</f>
        <v>15.299999999999999</v>
      </c>
      <c r="Y52" s="2">
        <f t="shared" si="5"/>
        <v>1.5</v>
      </c>
      <c r="Z52" s="2">
        <f t="shared" si="6"/>
        <v>-1.5</v>
      </c>
      <c r="AA52" s="2">
        <f>-'Qty estimate'!C13*D$22+Z52</f>
        <v>-10.7</v>
      </c>
      <c r="AB52" s="237">
        <f t="shared" si="4"/>
        <v>-7.8249999999999993</v>
      </c>
      <c r="AD52" s="237">
        <f>(('Qty estimate'!C13/(4*'Input data'!$D$24)+('Qty estimate'!C13*'Input data'!$D$24)/4))</f>
        <v>2.875</v>
      </c>
    </row>
    <row r="53" spans="1:30" ht="15.75">
      <c r="A53" s="496">
        <v>9</v>
      </c>
      <c r="B53" s="496" t="s">
        <v>165</v>
      </c>
      <c r="C53" s="513" t="s">
        <v>6</v>
      </c>
      <c r="D53" s="519">
        <f>+D18*(D13+'Input data'!D26)*D20</f>
        <v>450.96186386971624</v>
      </c>
      <c r="F53" s="585"/>
      <c r="G53" s="585"/>
      <c r="H53" s="585"/>
      <c r="I53" s="585"/>
      <c r="J53" s="585"/>
      <c r="K53" s="585"/>
      <c r="L53" s="585"/>
      <c r="M53" s="585"/>
      <c r="N53" s="585"/>
      <c r="O53" s="585"/>
      <c r="P53" s="585"/>
      <c r="Q53" s="585"/>
      <c r="R53" s="585"/>
      <c r="S53" s="585"/>
      <c r="T53" s="585"/>
      <c r="W53" s="2">
        <f>+X21</f>
        <v>36</v>
      </c>
      <c r="X53" s="2">
        <f>+'Qty estimate'!C14*D$23+Y53</f>
        <v>11.399999999999999</v>
      </c>
      <c r="Y53" s="2">
        <f t="shared" si="5"/>
        <v>1.5</v>
      </c>
      <c r="Z53" s="2">
        <f t="shared" si="6"/>
        <v>-1.5</v>
      </c>
      <c r="AA53" s="2">
        <f>-'Qty estimate'!C14*D$22+Z53</f>
        <v>-8.1</v>
      </c>
      <c r="AB53" s="237">
        <f t="shared" si="4"/>
        <v>-6.0374999999999996</v>
      </c>
      <c r="AD53" s="237">
        <f>(('Qty estimate'!C14/(4*'Input data'!$D$24)+('Qty estimate'!C14*'Input data'!$D$24)/4))</f>
        <v>2.0625</v>
      </c>
    </row>
    <row r="54" spans="1:30" ht="15">
      <c r="A54" s="496"/>
      <c r="B54" s="496" t="s">
        <v>189</v>
      </c>
      <c r="C54" s="513" t="s">
        <v>6</v>
      </c>
      <c r="D54" s="514">
        <f>+D53</f>
        <v>450.96186386971624</v>
      </c>
      <c r="F54" s="585"/>
      <c r="G54" s="585"/>
      <c r="H54" s="585"/>
      <c r="I54" s="585"/>
      <c r="J54" s="585"/>
      <c r="K54" s="585"/>
      <c r="L54" s="585"/>
      <c r="M54" s="585"/>
      <c r="N54" s="585"/>
      <c r="O54" s="585"/>
      <c r="P54" s="585"/>
      <c r="Q54" s="585"/>
      <c r="R54" s="585"/>
      <c r="S54" s="585"/>
      <c r="T54" s="585"/>
      <c r="W54" s="2">
        <f>+X22</f>
        <v>40</v>
      </c>
      <c r="X54" s="2">
        <f>+'Qty estimate'!C15*D$23+Y54</f>
        <v>1.5</v>
      </c>
      <c r="Y54" s="2">
        <f t="shared" si="5"/>
        <v>1.5</v>
      </c>
      <c r="Z54" s="2">
        <f t="shared" si="6"/>
        <v>-1.5</v>
      </c>
      <c r="AA54" s="2">
        <f>-'Qty estimate'!C15*D$22+Z54</f>
        <v>-1.5</v>
      </c>
      <c r="AB54" s="236">
        <f t="shared" si="4"/>
        <v>-1.5</v>
      </c>
      <c r="AD54" s="237">
        <f>(('Qty estimate'!C15/(4*'Input data'!$D$24)+('Qty estimate'!C15*'Input data'!$D$24)/4))</f>
        <v>0</v>
      </c>
    </row>
    <row r="55" spans="1:30" ht="15.75">
      <c r="A55" s="500">
        <v>10</v>
      </c>
      <c r="B55" s="500" t="s">
        <v>53</v>
      </c>
      <c r="C55" s="522" t="s">
        <v>96</v>
      </c>
      <c r="D55" s="523">
        <f>30*(D9+1+1)</f>
        <v>247.90077661238178</v>
      </c>
      <c r="F55" s="585"/>
      <c r="G55" s="585"/>
      <c r="H55" s="585"/>
      <c r="I55" s="585"/>
      <c r="J55" s="585"/>
      <c r="K55" s="585"/>
      <c r="L55" s="585"/>
      <c r="M55" s="585"/>
      <c r="N55" s="585"/>
      <c r="O55" s="585"/>
      <c r="P55" s="585"/>
      <c r="Q55" s="585"/>
      <c r="R55" s="585"/>
      <c r="S55" s="585"/>
      <c r="T55" s="585"/>
      <c r="W55" s="2"/>
      <c r="X55" s="2"/>
      <c r="Y55" s="2"/>
      <c r="Z55" s="2"/>
      <c r="AA55" s="2"/>
    </row>
    <row r="56" spans="1:30" ht="15">
      <c r="A56" s="501"/>
      <c r="B56" s="501"/>
      <c r="C56" s="501"/>
      <c r="D56" s="501"/>
      <c r="F56" s="585"/>
      <c r="G56" s="585"/>
      <c r="H56" s="585"/>
      <c r="I56" s="585"/>
      <c r="J56" s="585"/>
      <c r="K56" s="585"/>
      <c r="L56" s="585"/>
      <c r="M56" s="585"/>
      <c r="N56" s="585"/>
      <c r="O56" s="585"/>
      <c r="P56" s="585"/>
      <c r="Q56" s="585"/>
      <c r="R56" s="585"/>
      <c r="S56" s="585"/>
      <c r="T56" s="585"/>
      <c r="W56" s="2"/>
      <c r="X56" s="2"/>
      <c r="Y56" s="2"/>
      <c r="Z56" s="2"/>
      <c r="AA56" s="2"/>
    </row>
    <row r="57" spans="1:30" ht="15">
      <c r="A57" s="501"/>
      <c r="B57" s="501"/>
      <c r="C57" s="501"/>
      <c r="D57" s="502"/>
      <c r="F57" s="585"/>
      <c r="G57" s="585"/>
      <c r="H57" s="585"/>
      <c r="I57" s="585"/>
      <c r="J57" s="585"/>
      <c r="K57" s="585"/>
      <c r="L57" s="585"/>
      <c r="M57" s="585"/>
      <c r="N57" s="585"/>
      <c r="O57" s="585"/>
      <c r="P57" s="585"/>
      <c r="Q57" s="585"/>
      <c r="R57" s="585"/>
      <c r="S57" s="585"/>
      <c r="T57" s="585"/>
      <c r="V57" s="236" t="s">
        <v>50</v>
      </c>
      <c r="W57" s="236" t="s">
        <v>199</v>
      </c>
      <c r="X57" s="236" t="s">
        <v>51</v>
      </c>
      <c r="Y57" s="236" t="s">
        <v>52</v>
      </c>
      <c r="Z57" s="236" t="s">
        <v>48</v>
      </c>
      <c r="AA57" s="2" t="s">
        <v>176</v>
      </c>
      <c r="AB57" s="2" t="s">
        <v>198</v>
      </c>
    </row>
    <row r="58" spans="1:30" ht="15" customHeight="1">
      <c r="A58" s="501"/>
      <c r="B58" s="503"/>
      <c r="C58" s="501"/>
      <c r="D58" s="502"/>
      <c r="F58" s="306"/>
      <c r="G58" s="306"/>
      <c r="H58" s="306"/>
      <c r="I58" s="306"/>
      <c r="J58" s="306"/>
      <c r="L58" s="306"/>
      <c r="M58" s="306"/>
      <c r="N58" s="306"/>
      <c r="O58" s="306"/>
      <c r="P58" s="306"/>
      <c r="Q58" s="306"/>
      <c r="R58" s="306"/>
      <c r="S58" s="306"/>
      <c r="T58" s="306"/>
      <c r="V58" s="236">
        <v>0</v>
      </c>
      <c r="W58" s="236">
        <v>0</v>
      </c>
      <c r="Z58" s="237">
        <f>W62-(D13+D8)</f>
        <v>2.6</v>
      </c>
      <c r="AA58" s="287">
        <f>Z58+D8</f>
        <v>3.5</v>
      </c>
      <c r="AB58" s="2">
        <v>0</v>
      </c>
    </row>
    <row r="59" spans="1:30" ht="15">
      <c r="A59" s="504"/>
      <c r="B59" s="501"/>
      <c r="C59" s="501"/>
      <c r="D59" s="501"/>
      <c r="F59" s="306"/>
      <c r="G59" s="306"/>
      <c r="H59" s="306"/>
      <c r="J59" s="306" t="s">
        <v>339</v>
      </c>
      <c r="K59" s="306"/>
      <c r="L59" s="306"/>
      <c r="M59" s="306"/>
      <c r="N59" s="306"/>
      <c r="O59" s="306"/>
      <c r="P59" s="306"/>
      <c r="Q59" s="306"/>
      <c r="R59" s="306"/>
      <c r="S59" s="306"/>
      <c r="T59" s="306"/>
      <c r="V59" s="236">
        <f>AA59*'Input data'!D23-'Design Nala Bund Drg &amp; Summary'!D8*'Input data'!D23</f>
        <v>7.8</v>
      </c>
      <c r="W59" s="237">
        <f>+W58+(W62/V62)*V59</f>
        <v>2.5999999999999996</v>
      </c>
      <c r="Z59" s="237">
        <f>Z58</f>
        <v>2.6</v>
      </c>
      <c r="AA59" s="237">
        <f>AA58</f>
        <v>3.5</v>
      </c>
      <c r="AB59" s="287">
        <f>Z59</f>
        <v>2.6</v>
      </c>
    </row>
    <row r="60" spans="1:30" ht="15">
      <c r="A60" s="504"/>
      <c r="B60" s="501"/>
      <c r="C60" s="501"/>
      <c r="D60" s="501"/>
      <c r="F60" s="306"/>
      <c r="G60" s="306"/>
      <c r="H60" s="306"/>
      <c r="I60" s="306"/>
      <c r="J60" s="306"/>
      <c r="K60" s="306"/>
      <c r="L60" s="306"/>
      <c r="M60" s="306"/>
      <c r="N60" s="306"/>
      <c r="O60" s="306"/>
      <c r="P60" s="306"/>
      <c r="Q60" s="306"/>
      <c r="R60" s="306"/>
      <c r="S60" s="306"/>
      <c r="T60" s="306"/>
      <c r="V60" s="236">
        <f>(AA59)*'Input data'!D23</f>
        <v>10.5</v>
      </c>
      <c r="W60" s="237">
        <f>AA59</f>
        <v>3.5</v>
      </c>
      <c r="Z60" s="237"/>
      <c r="AA60" s="237">
        <f>AA59</f>
        <v>3.5</v>
      </c>
      <c r="AB60" s="237">
        <f>AA60</f>
        <v>3.5</v>
      </c>
    </row>
    <row r="61" spans="1:30" ht="15">
      <c r="A61" s="504"/>
      <c r="B61" s="501"/>
      <c r="C61" s="501"/>
      <c r="D61" s="501"/>
      <c r="F61" s="306"/>
      <c r="G61" s="307"/>
      <c r="J61" s="306"/>
      <c r="K61" s="306"/>
      <c r="L61" s="306"/>
      <c r="M61" s="306"/>
      <c r="N61" s="306"/>
      <c r="O61" s="306"/>
      <c r="P61" s="306"/>
      <c r="Q61" s="306"/>
      <c r="R61" s="306"/>
      <c r="S61" s="306"/>
      <c r="T61" s="306"/>
      <c r="V61" s="236">
        <f>+V60+(0.1*'Input data'!D23)</f>
        <v>10.8</v>
      </c>
      <c r="W61" s="237">
        <f>+W58+(W62/V62)*V61</f>
        <v>3.6</v>
      </c>
      <c r="Z61" s="237"/>
      <c r="AA61" s="237"/>
      <c r="AB61" s="237">
        <f>+AB60+(0.1)</f>
        <v>3.6</v>
      </c>
    </row>
    <row r="62" spans="1:30" ht="29.25" customHeight="1">
      <c r="A62" s="504"/>
      <c r="B62" s="581"/>
      <c r="C62" s="581"/>
      <c r="D62" s="581"/>
      <c r="F62" s="306"/>
      <c r="G62" s="307"/>
      <c r="H62" s="589" t="s">
        <v>340</v>
      </c>
      <c r="J62" s="306"/>
      <c r="K62" s="306"/>
      <c r="L62" s="306"/>
      <c r="M62" s="306"/>
      <c r="N62" s="306"/>
      <c r="O62" s="306"/>
      <c r="P62" s="306"/>
      <c r="Q62" s="306"/>
      <c r="R62" s="306"/>
      <c r="S62" s="306"/>
      <c r="T62" s="306"/>
      <c r="V62" s="236">
        <f>+D21*D23</f>
        <v>15</v>
      </c>
      <c r="W62" s="236">
        <f>+D21</f>
        <v>5</v>
      </c>
      <c r="X62" s="236">
        <v>0</v>
      </c>
      <c r="Y62" s="236">
        <v>0</v>
      </c>
    </row>
    <row r="63" spans="1:30" ht="42.75" customHeight="1">
      <c r="A63" s="504"/>
      <c r="B63" s="501"/>
      <c r="C63" s="501"/>
      <c r="D63" s="501"/>
      <c r="F63" s="306"/>
      <c r="G63" s="306"/>
      <c r="H63" s="589"/>
      <c r="K63" s="566"/>
      <c r="L63" s="566"/>
      <c r="M63" s="566"/>
      <c r="N63" s="566"/>
      <c r="O63" s="582"/>
      <c r="P63" s="583"/>
      <c r="Q63" s="306"/>
      <c r="R63" s="584"/>
      <c r="S63" s="585"/>
      <c r="T63" s="585"/>
      <c r="V63" s="236">
        <f>V62</f>
        <v>15</v>
      </c>
      <c r="W63" s="236">
        <f>W62</f>
        <v>5</v>
      </c>
      <c r="X63" s="237">
        <f>+D21-D13</f>
        <v>3.5</v>
      </c>
      <c r="Y63" s="236">
        <v>0</v>
      </c>
      <c r="AA63" s="2"/>
      <c r="AB63" s="2"/>
    </row>
    <row r="64" spans="1:30" ht="14.25" customHeight="1">
      <c r="A64" s="309"/>
      <c r="B64" s="308"/>
      <c r="C64" s="308"/>
      <c r="D64" s="308"/>
      <c r="F64" s="306"/>
      <c r="G64" s="306"/>
      <c r="H64" s="306"/>
      <c r="I64" s="306"/>
      <c r="K64" s="566"/>
      <c r="L64" s="566"/>
      <c r="M64" s="566"/>
      <c r="N64" s="566"/>
      <c r="O64" s="583"/>
      <c r="P64" s="583"/>
      <c r="Q64" s="306"/>
      <c r="R64" s="585"/>
      <c r="S64" s="585"/>
      <c r="T64" s="585"/>
      <c r="V64" s="236">
        <f>+V62+(D29-D30)/2</f>
        <v>16</v>
      </c>
      <c r="W64" s="236">
        <f>+W62</f>
        <v>5</v>
      </c>
      <c r="X64" s="237">
        <f>X63</f>
        <v>3.5</v>
      </c>
      <c r="Y64" s="248">
        <f>-D17</f>
        <v>-1.5</v>
      </c>
      <c r="AA64" s="2"/>
      <c r="AB64" s="2"/>
    </row>
    <row r="65" spans="1:28" ht="12.75" customHeight="1">
      <c r="A65" s="309"/>
      <c r="B65" s="308"/>
      <c r="C65" s="308"/>
      <c r="D65" s="308"/>
      <c r="F65" s="306"/>
      <c r="G65" s="306"/>
      <c r="H65" s="306"/>
      <c r="I65" s="306"/>
      <c r="J65" s="589"/>
      <c r="K65" s="306"/>
      <c r="L65" s="306"/>
      <c r="M65" s="306"/>
      <c r="N65" s="306"/>
      <c r="O65" s="306"/>
      <c r="P65" s="306"/>
      <c r="Q65" s="306"/>
      <c r="R65" s="306"/>
      <c r="S65" s="306"/>
      <c r="T65" s="306"/>
      <c r="V65" s="248">
        <f>+V64+D30</f>
        <v>17</v>
      </c>
      <c r="W65" s="236">
        <f>+W64</f>
        <v>5</v>
      </c>
      <c r="X65" s="237">
        <f>X64</f>
        <v>3.5</v>
      </c>
      <c r="Y65" s="248">
        <f>+Y64</f>
        <v>-1.5</v>
      </c>
      <c r="AA65" s="2"/>
      <c r="AB65" s="2"/>
    </row>
    <row r="66" spans="1:28">
      <c r="A66" s="309"/>
      <c r="B66" s="308"/>
      <c r="C66" s="308"/>
      <c r="D66" s="308"/>
      <c r="F66" s="306"/>
      <c r="G66" s="306"/>
      <c r="H66" s="306"/>
      <c r="I66" s="306"/>
      <c r="J66" s="589"/>
      <c r="K66" s="306"/>
      <c r="L66" s="306"/>
      <c r="M66" s="306"/>
      <c r="N66" s="306"/>
      <c r="O66" s="306"/>
      <c r="P66" s="306"/>
      <c r="Q66" s="306"/>
      <c r="R66" s="306"/>
      <c r="S66" s="306"/>
      <c r="T66" s="306"/>
      <c r="V66" s="236">
        <f>+V65+(D29-D30)/2</f>
        <v>18</v>
      </c>
      <c r="W66" s="236">
        <f>+W64</f>
        <v>5</v>
      </c>
      <c r="X66" s="237">
        <f>+X63</f>
        <v>3.5</v>
      </c>
      <c r="Y66" s="248">
        <v>0</v>
      </c>
    </row>
    <row r="67" spans="1:28">
      <c r="A67" s="309"/>
      <c r="B67" s="308"/>
      <c r="C67" s="308"/>
      <c r="D67" s="308"/>
      <c r="F67" s="306"/>
      <c r="G67" s="306"/>
      <c r="H67" s="306"/>
      <c r="I67" s="306"/>
      <c r="J67" s="306"/>
      <c r="K67" s="306"/>
      <c r="L67" s="306"/>
      <c r="M67" s="306"/>
      <c r="N67" s="306"/>
      <c r="O67" s="306"/>
      <c r="P67" s="306"/>
      <c r="Q67" s="306"/>
      <c r="R67" s="306"/>
      <c r="S67" s="306"/>
      <c r="T67" s="306"/>
      <c r="V67" s="236">
        <f>+V66</f>
        <v>18</v>
      </c>
      <c r="W67" s="236">
        <f>+W66</f>
        <v>5</v>
      </c>
      <c r="X67" s="236">
        <v>0</v>
      </c>
      <c r="Y67" s="248">
        <f>+Y66</f>
        <v>0</v>
      </c>
    </row>
    <row r="68" spans="1:28">
      <c r="V68" s="236">
        <f>V67</f>
        <v>18</v>
      </c>
      <c r="W68" s="236">
        <f>+W64</f>
        <v>5</v>
      </c>
      <c r="Y68" s="248">
        <v>0</v>
      </c>
    </row>
    <row r="69" spans="1:28">
      <c r="V69" s="236">
        <f>+V68+W62*D22</f>
        <v>28</v>
      </c>
      <c r="W69" s="236">
        <v>0</v>
      </c>
    </row>
    <row r="70" spans="1:28" ht="29.25" customHeight="1"/>
    <row r="71" spans="1:28" ht="18" customHeight="1"/>
  </sheetData>
  <sheetProtection algorithmName="SHA-512" hashValue="49lnJjzr7cXXqENWL5OFZ5EAypmd4NECyY6YivvnmxtQw1yIRnw3RIERGm4zmMalsOK/xGEmUIYvJH8rLXysQA==" saltValue="ISD5m9KzSsmQx39xj4zatQ==" spinCount="100000" sheet="1" objects="1" scenarios="1"/>
  <mergeCells count="10">
    <mergeCell ref="J65:J66"/>
    <mergeCell ref="AA9:AA10"/>
    <mergeCell ref="AB38:AE38"/>
    <mergeCell ref="F1:T57"/>
    <mergeCell ref="H62:H63"/>
    <mergeCell ref="B62:D62"/>
    <mergeCell ref="K63:N64"/>
    <mergeCell ref="O63:P64"/>
    <mergeCell ref="R63:T64"/>
    <mergeCell ref="A1:D1"/>
  </mergeCells>
  <phoneticPr fontId="0" type="noConversion"/>
  <printOptions horizontalCentered="1" verticalCentered="1"/>
  <pageMargins left="0.25" right="0.25" top="0.44" bottom="0.36" header="0.3" footer="0.3"/>
  <pageSetup paperSize="9" scale="66" orientation="portrait" r:id="rId1"/>
  <headerFooter alignWithMargins="0"/>
  <rowBreaks count="1" manualBreakCount="1">
    <brk id="67" max="19" man="1"/>
  </rowBreaks>
  <colBreaks count="1" manualBreakCount="1">
    <brk id="4"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8"/>
  <sheetViews>
    <sheetView view="pageBreakPreview" topLeftCell="A10" zoomScale="120" zoomScaleSheetLayoutView="120" workbookViewId="0">
      <selection activeCell="C6" sqref="C6"/>
    </sheetView>
  </sheetViews>
  <sheetFormatPr defaultRowHeight="12.75"/>
  <cols>
    <col min="1" max="1" width="5.85546875" customWidth="1"/>
    <col min="2" max="2" width="7.140625" customWidth="1"/>
    <col min="3" max="3" width="6.42578125" customWidth="1"/>
    <col min="6" max="6" width="6.42578125" customWidth="1"/>
    <col min="7" max="7" width="7.140625" customWidth="1"/>
    <col min="8" max="8" width="6.28515625" customWidth="1"/>
    <col min="9" max="9" width="8" customWidth="1"/>
    <col min="10" max="10" width="6.85546875" customWidth="1"/>
    <col min="11" max="12" width="6.7109375" customWidth="1"/>
    <col min="13" max="13" width="7.140625" customWidth="1"/>
    <col min="14" max="14" width="6.140625" customWidth="1"/>
    <col min="15" max="16" width="7" customWidth="1"/>
    <col min="17" max="17" width="7.5703125" customWidth="1"/>
    <col min="18" max="18" width="8.140625" customWidth="1"/>
    <col min="19" max="19" width="7.140625" customWidth="1"/>
    <col min="20" max="20" width="6.28515625" customWidth="1"/>
    <col min="21" max="21" width="7.5703125" customWidth="1"/>
    <col min="22" max="22" width="7.140625" customWidth="1"/>
    <col min="23" max="23" width="12.7109375" customWidth="1"/>
  </cols>
  <sheetData>
    <row r="1" spans="1:24">
      <c r="S1" s="592" t="s">
        <v>269</v>
      </c>
      <c r="T1" s="592"/>
      <c r="U1" s="592"/>
      <c r="V1" s="592"/>
    </row>
    <row r="2" spans="1:24" ht="15.75">
      <c r="A2" s="598" t="s">
        <v>422</v>
      </c>
      <c r="B2" s="598"/>
      <c r="C2" s="598"/>
      <c r="D2" s="598"/>
      <c r="E2" s="598"/>
      <c r="F2" s="598"/>
      <c r="G2" s="598"/>
      <c r="H2" s="598"/>
      <c r="I2" s="598"/>
      <c r="J2" s="598"/>
      <c r="K2" s="598"/>
      <c r="L2" s="598"/>
      <c r="M2" s="598"/>
      <c r="N2" s="598"/>
      <c r="O2" s="598"/>
      <c r="P2" s="253"/>
      <c r="Q2" s="252"/>
      <c r="R2" s="252"/>
      <c r="S2" s="252"/>
      <c r="T2" s="254"/>
      <c r="U2" s="254"/>
      <c r="V2" s="255"/>
    </row>
    <row r="3" spans="1:24">
      <c r="A3" s="283"/>
      <c r="B3" s="594" t="s">
        <v>255</v>
      </c>
      <c r="C3" s="594"/>
      <c r="D3" s="594"/>
      <c r="E3" s="594"/>
      <c r="F3" s="594"/>
      <c r="G3" s="594"/>
      <c r="H3" s="594" t="s">
        <v>51</v>
      </c>
      <c r="I3" s="594"/>
      <c r="J3" s="594"/>
      <c r="K3" s="594" t="s">
        <v>256</v>
      </c>
      <c r="L3" s="594"/>
      <c r="M3" s="594"/>
      <c r="N3" s="595" t="s">
        <v>263</v>
      </c>
      <c r="O3" s="595"/>
      <c r="P3" s="595"/>
      <c r="Q3" s="593" t="s">
        <v>418</v>
      </c>
      <c r="R3" s="594"/>
      <c r="S3" s="594"/>
      <c r="T3" s="594" t="s">
        <v>257</v>
      </c>
      <c r="U3" s="594"/>
      <c r="V3" s="594"/>
    </row>
    <row r="4" spans="1:24" s="260" customFormat="1" ht="56.25">
      <c r="A4" s="257" t="s">
        <v>9</v>
      </c>
      <c r="B4" s="257" t="s">
        <v>34</v>
      </c>
      <c r="C4" s="257" t="s">
        <v>3</v>
      </c>
      <c r="D4" s="257" t="s">
        <v>4</v>
      </c>
      <c r="E4" s="258" t="s">
        <v>10</v>
      </c>
      <c r="F4" s="257" t="s">
        <v>7</v>
      </c>
      <c r="G4" s="257" t="s">
        <v>11</v>
      </c>
      <c r="H4" s="257" t="s">
        <v>270</v>
      </c>
      <c r="I4" s="258" t="s">
        <v>206</v>
      </c>
      <c r="J4" s="257" t="s">
        <v>12</v>
      </c>
      <c r="K4" s="257" t="s">
        <v>13</v>
      </c>
      <c r="L4" s="257" t="s">
        <v>14</v>
      </c>
      <c r="M4" s="257" t="s">
        <v>15</v>
      </c>
      <c r="N4" s="259" t="s">
        <v>35</v>
      </c>
      <c r="O4" s="258" t="s">
        <v>36</v>
      </c>
      <c r="P4" s="257" t="s">
        <v>37</v>
      </c>
      <c r="Q4" s="257" t="s">
        <v>97</v>
      </c>
      <c r="R4" s="257" t="s">
        <v>38</v>
      </c>
      <c r="S4" s="257" t="s">
        <v>169</v>
      </c>
      <c r="T4" s="257" t="s">
        <v>177</v>
      </c>
      <c r="U4" s="257" t="s">
        <v>178</v>
      </c>
      <c r="V4" s="257" t="s">
        <v>179</v>
      </c>
    </row>
    <row r="5" spans="1:24" ht="21" customHeight="1">
      <c r="A5" s="3">
        <f>'Input data'!B31</f>
        <v>0</v>
      </c>
      <c r="B5" s="3">
        <v>100</v>
      </c>
      <c r="C5" s="3">
        <f>'Input data'!D31</f>
        <v>0</v>
      </c>
      <c r="D5" s="4">
        <f>+(C5*('Design Nala Bund Drg &amp; Summary'!D$23+'Design Nala Bund Drg &amp; Summary'!D$22)+2*'Design Nala Bund Drg &amp; Summary'!D$14)*C5/2</f>
        <v>0</v>
      </c>
      <c r="E5" s="3"/>
      <c r="F5" s="3"/>
      <c r="G5" s="4">
        <f t="shared" ref="G5:G19" si="0">+F5*E5</f>
        <v>0</v>
      </c>
      <c r="H5" s="3">
        <v>0</v>
      </c>
      <c r="I5" s="3"/>
      <c r="J5" s="3"/>
      <c r="K5" s="3">
        <v>0</v>
      </c>
      <c r="L5" s="3"/>
      <c r="M5" s="3"/>
      <c r="N5" s="3">
        <v>0</v>
      </c>
      <c r="O5" s="3"/>
      <c r="P5" s="3"/>
      <c r="Q5" s="4">
        <f>+(C5*('Design Nala Bund Drg &amp; Summary'!D$23+'Design Nala Bund Drg &amp; Summary'!D$22)+'Design Nala Bund Drg &amp; Summary'!D$14)</f>
        <v>3</v>
      </c>
      <c r="R5" s="4"/>
      <c r="S5" s="4"/>
      <c r="T5" s="4">
        <f>+(C5)*SQRT(1+'Design Nala Bund Drg &amp; Summary'!D$22^2)</f>
        <v>0</v>
      </c>
      <c r="U5" s="4"/>
      <c r="V5" s="4">
        <f>+U5*O5</f>
        <v>0</v>
      </c>
    </row>
    <row r="6" spans="1:24" ht="21" customHeight="1">
      <c r="A6" s="3">
        <f>'Input data'!B32</f>
        <v>4</v>
      </c>
      <c r="B6" s="3">
        <f t="shared" ref="B6:B19" si="1">B$5-C6</f>
        <v>96.9</v>
      </c>
      <c r="C6" s="3">
        <f>'Input data'!D32</f>
        <v>3.1</v>
      </c>
      <c r="D6" s="4">
        <f>+(C6*('Design Nala Bund Drg &amp; Summary'!D$23+'Design Nala Bund Drg &amp; Summary'!D$22)+2*'Design Nala Bund Drg &amp; Summary'!D$14)*C6/2</f>
        <v>33.325000000000003</v>
      </c>
      <c r="E6" s="4">
        <f t="shared" ref="E6:E19" si="2">+(D6+D5)/2</f>
        <v>16.662500000000001</v>
      </c>
      <c r="F6" s="3">
        <f t="shared" ref="F6:F19" si="3">+A6-A5</f>
        <v>4</v>
      </c>
      <c r="G6" s="4">
        <f t="shared" si="0"/>
        <v>66.650000000000006</v>
      </c>
      <c r="H6" s="4">
        <f>(C6-'Input data'!D$25)*'Design Nala Bund Drg &amp; Summary'!D$16</f>
        <v>4.8000000000000007</v>
      </c>
      <c r="I6" s="4">
        <f t="shared" ref="I6:I19" si="4">+(H6+H5)/2</f>
        <v>2.4000000000000004</v>
      </c>
      <c r="J6" s="4">
        <f t="shared" ref="J6:J19" si="5">+I6*F6</f>
        <v>9.6000000000000014</v>
      </c>
      <c r="K6" s="4">
        <f>+(C6-'Design Nala Bund Drg &amp; Summary'!D$13)*SQRT(1+'Design Nala Bund Drg &amp; Summary'!D$23^2)+0.15</f>
        <v>5.2096442562694083</v>
      </c>
      <c r="L6" s="4">
        <f t="shared" ref="L6:L19" si="6">+(K6+K5)/2</f>
        <v>2.6048221281347042</v>
      </c>
      <c r="M6" s="4">
        <f t="shared" ref="M6:M19" si="7">+L6*F6</f>
        <v>10.419288512538817</v>
      </c>
      <c r="N6" s="4">
        <f>+C6^2*(1+'Design Nala Bund Drg &amp; Summary'!D$22^2)/(32*'Design Nala Bund Drg &amp; Summary'!D$22)</f>
        <v>0.75078125000000007</v>
      </c>
      <c r="O6" s="4">
        <f t="shared" ref="O6:O15" si="8">+(N6+N5)/2</f>
        <v>0.37539062500000003</v>
      </c>
      <c r="P6" s="4">
        <f t="shared" ref="P6:P15" si="9">+O6*F6</f>
        <v>1.5015625000000001</v>
      </c>
      <c r="Q6" s="4">
        <f>+(C6*('Design Nala Bund Drg &amp; Summary'!D$23+'Design Nala Bund Drg &amp; Summary'!D$22)+'Design Nala Bund Drg &amp; Summary'!D$14)</f>
        <v>18.5</v>
      </c>
      <c r="R6" s="4">
        <f>+(Q5+Q6)/2</f>
        <v>10.75</v>
      </c>
      <c r="S6" s="4">
        <f t="shared" ref="S6:S15" si="10">+R6*F6</f>
        <v>43</v>
      </c>
      <c r="T6" s="4">
        <f>+(C6)*SQRT(1+'Design Nala Bund Drg &amp; Summary'!D$22^2)</f>
        <v>6.9318107302493486</v>
      </c>
      <c r="U6" s="4">
        <f>+(T6+T5)/2</f>
        <v>3.4659053651246743</v>
      </c>
      <c r="V6" s="4">
        <f t="shared" ref="V6:V15" si="11">+U6*F6</f>
        <v>13.863621460498697</v>
      </c>
      <c r="W6" s="431"/>
    </row>
    <row r="7" spans="1:24" ht="21" customHeight="1">
      <c r="A7" s="3">
        <f>'Input data'!B33</f>
        <v>8</v>
      </c>
      <c r="B7" s="3">
        <f t="shared" si="1"/>
        <v>96.2</v>
      </c>
      <c r="C7" s="3">
        <f>'Input data'!D33</f>
        <v>3.8</v>
      </c>
      <c r="D7" s="4">
        <f>+(C7*('Design Nala Bund Drg &amp; Summary'!D$23+'Design Nala Bund Drg &amp; Summary'!D$22)+2*'Design Nala Bund Drg &amp; Summary'!D$14)*C7/2</f>
        <v>47.5</v>
      </c>
      <c r="E7" s="4">
        <f t="shared" si="2"/>
        <v>40.412500000000001</v>
      </c>
      <c r="F7" s="3">
        <f t="shared" si="3"/>
        <v>4</v>
      </c>
      <c r="G7" s="4">
        <f t="shared" si="0"/>
        <v>161.65</v>
      </c>
      <c r="H7" s="4">
        <f>(C7-'Input data'!D$25)*'Design Nala Bund Drg &amp; Summary'!D$16</f>
        <v>6.8999999999999995</v>
      </c>
      <c r="I7" s="4">
        <f t="shared" si="4"/>
        <v>5.85</v>
      </c>
      <c r="J7" s="3">
        <f t="shared" si="5"/>
        <v>23.4</v>
      </c>
      <c r="K7" s="4">
        <f>+(C7-'Design Nala Bund Drg &amp; Summary'!D$13)*SQRT(1+'Design Nala Bund Drg &amp; Summary'!D$23^2)+0.15</f>
        <v>7.4232386183872725</v>
      </c>
      <c r="L7" s="4">
        <f t="shared" si="6"/>
        <v>6.31644143732834</v>
      </c>
      <c r="M7" s="4">
        <f t="shared" si="7"/>
        <v>25.26576574931336</v>
      </c>
      <c r="N7" s="4">
        <f>+C7^2*(1+'Design Nala Bund Drg &amp; Summary'!D$22^2)/(32*'Design Nala Bund Drg &amp; Summary'!D$22)</f>
        <v>1.128125</v>
      </c>
      <c r="O7" s="4">
        <f t="shared" si="8"/>
        <v>0.939453125</v>
      </c>
      <c r="P7" s="4">
        <f t="shared" si="9"/>
        <v>3.7578125</v>
      </c>
      <c r="Q7" s="4">
        <f>+(C7*('Design Nala Bund Drg &amp; Summary'!D$23+'Design Nala Bund Drg &amp; Summary'!D$22)+'Design Nala Bund Drg &amp; Summary'!D$14)</f>
        <v>22</v>
      </c>
      <c r="R7" s="4">
        <f>+(Q7+Q5)/2</f>
        <v>12.5</v>
      </c>
      <c r="S7" s="4">
        <f t="shared" si="10"/>
        <v>50</v>
      </c>
      <c r="T7" s="4">
        <f>+(C7)*SQRT(1+'Design Nala Bund Drg &amp; Summary'!D$22^2)</f>
        <v>8.4970583144992009</v>
      </c>
      <c r="U7" s="4">
        <f>+(T7+T5)/2</f>
        <v>4.2485291572496005</v>
      </c>
      <c r="V7" s="4">
        <f t="shared" si="11"/>
        <v>16.994116628998402</v>
      </c>
      <c r="W7" s="431"/>
    </row>
    <row r="8" spans="1:24" ht="21" customHeight="1">
      <c r="A8" s="3">
        <f>'Input data'!B34</f>
        <v>12</v>
      </c>
      <c r="B8" s="3">
        <f t="shared" si="1"/>
        <v>95.8</v>
      </c>
      <c r="C8" s="3">
        <f>'Input data'!D34</f>
        <v>4.2</v>
      </c>
      <c r="D8" s="4">
        <f>+(C8*('Design Nala Bund Drg &amp; Summary'!D$23+'Design Nala Bund Drg &amp; Summary'!D$22)+2*'Design Nala Bund Drg &amp; Summary'!D$14)*C8/2</f>
        <v>56.7</v>
      </c>
      <c r="E8" s="4">
        <f t="shared" si="2"/>
        <v>52.1</v>
      </c>
      <c r="F8" s="3">
        <f t="shared" si="3"/>
        <v>4</v>
      </c>
      <c r="G8" s="4">
        <f t="shared" si="0"/>
        <v>208.4</v>
      </c>
      <c r="H8" s="4">
        <f>(C8-'Input data'!D$25)*'Design Nala Bund Drg &amp; Summary'!D$16</f>
        <v>8.1000000000000014</v>
      </c>
      <c r="I8" s="4">
        <f t="shared" si="4"/>
        <v>7.5</v>
      </c>
      <c r="J8" s="3">
        <f t="shared" si="5"/>
        <v>30</v>
      </c>
      <c r="K8" s="4">
        <f>+(C8-'Design Nala Bund Drg &amp; Summary'!D$13)*SQRT(1+'Design Nala Bund Drg &amp; Summary'!D$23^2)+0.15</f>
        <v>8.6881496824546254</v>
      </c>
      <c r="L8" s="4">
        <f t="shared" si="6"/>
        <v>8.0556941504209494</v>
      </c>
      <c r="M8" s="4">
        <f t="shared" si="7"/>
        <v>32.222776601683798</v>
      </c>
      <c r="N8" s="4">
        <f>+C8^2*(1+'Design Nala Bund Drg &amp; Summary'!D$22^2)/(32*'Design Nala Bund Drg &amp; Summary'!D$22)</f>
        <v>1.378125</v>
      </c>
      <c r="O8" s="4">
        <f t="shared" si="8"/>
        <v>1.253125</v>
      </c>
      <c r="P8" s="4">
        <f t="shared" si="9"/>
        <v>5.0125000000000002</v>
      </c>
      <c r="Q8" s="4">
        <f>+(C8*('Design Nala Bund Drg &amp; Summary'!D$23+'Design Nala Bund Drg &amp; Summary'!D$22)+'Design Nala Bund Drg &amp; Summary'!D$14)</f>
        <v>24</v>
      </c>
      <c r="R8" s="4">
        <f t="shared" ref="R8:R15" si="12">+(Q8+Q7)/2</f>
        <v>23</v>
      </c>
      <c r="S8" s="4">
        <f t="shared" si="10"/>
        <v>92</v>
      </c>
      <c r="T8" s="4">
        <f>+(C8)*SQRT(1+'Design Nala Bund Drg &amp; Summary'!D$22^2)</f>
        <v>9.3914855054991175</v>
      </c>
      <c r="U8" s="4">
        <f t="shared" ref="U8:U15" si="13">+(T8+T7)/2</f>
        <v>8.9442719099991592</v>
      </c>
      <c r="V8" s="4">
        <f t="shared" si="11"/>
        <v>35.777087639996637</v>
      </c>
      <c r="W8" s="431"/>
    </row>
    <row r="9" spans="1:24" ht="21" customHeight="1">
      <c r="A9" s="3">
        <f>'Input data'!B35</f>
        <v>16</v>
      </c>
      <c r="B9" s="3">
        <f t="shared" si="1"/>
        <v>95.4</v>
      </c>
      <c r="C9" s="3">
        <f>'Input data'!D35</f>
        <v>4.5999999999999996</v>
      </c>
      <c r="D9" s="4">
        <f>+(C9*('Design Nala Bund Drg &amp; Summary'!D$23+'Design Nala Bund Drg &amp; Summary'!D$22)+2*'Design Nala Bund Drg &amp; Summary'!D$14)*C9/2</f>
        <v>66.699999999999989</v>
      </c>
      <c r="E9" s="4">
        <f t="shared" si="2"/>
        <v>61.699999999999996</v>
      </c>
      <c r="F9" s="3">
        <f t="shared" si="3"/>
        <v>4</v>
      </c>
      <c r="G9" s="4">
        <f t="shared" si="0"/>
        <v>246.79999999999998</v>
      </c>
      <c r="H9" s="4">
        <f>(C9-'Input data'!D$25)*'Design Nala Bund Drg &amp; Summary'!D$16</f>
        <v>9.2999999999999989</v>
      </c>
      <c r="I9" s="4">
        <f t="shared" si="4"/>
        <v>8.6999999999999993</v>
      </c>
      <c r="J9" s="3">
        <f t="shared" si="5"/>
        <v>34.799999999999997</v>
      </c>
      <c r="K9" s="4">
        <f>+(C9-'Design Nala Bund Drg &amp; Summary'!D$13)*SQRT(1+'Design Nala Bund Drg &amp; Summary'!D$23^2)+0.15</f>
        <v>9.9530607465219756</v>
      </c>
      <c r="L9" s="4">
        <f t="shared" si="6"/>
        <v>9.3206052144882996</v>
      </c>
      <c r="M9" s="4">
        <f t="shared" si="7"/>
        <v>37.282420857953198</v>
      </c>
      <c r="N9" s="4">
        <f>+C9^2*(1+'Design Nala Bund Drg &amp; Summary'!D$22^2)/(32*'Design Nala Bund Drg &amp; Summary'!D$22)</f>
        <v>1.6531249999999997</v>
      </c>
      <c r="O9" s="4">
        <f t="shared" si="8"/>
        <v>1.515625</v>
      </c>
      <c r="P9" s="4">
        <f t="shared" si="9"/>
        <v>6.0625</v>
      </c>
      <c r="Q9" s="4">
        <f>+(C9*('Design Nala Bund Drg &amp; Summary'!D$23+'Design Nala Bund Drg &amp; Summary'!D$22)+'Design Nala Bund Drg &amp; Summary'!D$14)</f>
        <v>26</v>
      </c>
      <c r="R9" s="4">
        <f t="shared" si="12"/>
        <v>25</v>
      </c>
      <c r="S9" s="4">
        <f t="shared" si="10"/>
        <v>100</v>
      </c>
      <c r="T9" s="4">
        <f>+(C9)*SQRT(1+'Design Nala Bund Drg &amp; Summary'!D$22^2)</f>
        <v>10.285912696499032</v>
      </c>
      <c r="U9" s="4">
        <f t="shared" si="13"/>
        <v>9.8386991009990759</v>
      </c>
      <c r="V9" s="4">
        <f t="shared" si="11"/>
        <v>39.354796403996303</v>
      </c>
      <c r="W9" s="431"/>
    </row>
    <row r="10" spans="1:24" ht="21" customHeight="1">
      <c r="A10" s="3">
        <f>'Input data'!B36</f>
        <v>20</v>
      </c>
      <c r="B10" s="3">
        <f t="shared" si="1"/>
        <v>95.1</v>
      </c>
      <c r="C10" s="3">
        <f>'Input data'!D36</f>
        <v>4.9000000000000004</v>
      </c>
      <c r="D10" s="4">
        <f>+(C10*('Design Nala Bund Drg &amp; Summary'!D$23+'Design Nala Bund Drg &amp; Summary'!D$22)+2*'Design Nala Bund Drg &amp; Summary'!D$14)*C10/2</f>
        <v>74.725000000000009</v>
      </c>
      <c r="E10" s="4">
        <f t="shared" si="2"/>
        <v>70.712500000000006</v>
      </c>
      <c r="F10" s="3">
        <f t="shared" si="3"/>
        <v>4</v>
      </c>
      <c r="G10" s="4">
        <f t="shared" si="0"/>
        <v>282.85000000000002</v>
      </c>
      <c r="H10" s="4">
        <f>(C10-'Input data'!D$25)*'Design Nala Bund Drg &amp; Summary'!D$16</f>
        <v>10.200000000000001</v>
      </c>
      <c r="I10" s="4">
        <f t="shared" si="4"/>
        <v>9.75</v>
      </c>
      <c r="J10" s="3">
        <f t="shared" si="5"/>
        <v>39</v>
      </c>
      <c r="K10" s="4">
        <f>+(C10-'Design Nala Bund Drg &amp; Summary'!D$13)*SQRT(1+'Design Nala Bund Drg &amp; Summary'!D$23^2)+0.15</f>
        <v>10.901744044572492</v>
      </c>
      <c r="L10" s="4">
        <f t="shared" si="6"/>
        <v>10.427402395547233</v>
      </c>
      <c r="M10" s="4">
        <f t="shared" si="7"/>
        <v>41.709609582188932</v>
      </c>
      <c r="N10" s="4">
        <f>+C10^2*(1+'Design Nala Bund Drg &amp; Summary'!D$22^2)/(32*'Design Nala Bund Drg &amp; Summary'!D$22)</f>
        <v>1.8757812500000004</v>
      </c>
      <c r="O10" s="4">
        <f t="shared" si="8"/>
        <v>1.7644531250000002</v>
      </c>
      <c r="P10" s="4">
        <f t="shared" si="9"/>
        <v>7.0578125000000007</v>
      </c>
      <c r="Q10" s="4">
        <f>+(C10*('Design Nala Bund Drg &amp; Summary'!D$23+'Design Nala Bund Drg &amp; Summary'!D$22)+'Design Nala Bund Drg &amp; Summary'!D$14)</f>
        <v>27.5</v>
      </c>
      <c r="R10" s="4">
        <f t="shared" si="12"/>
        <v>26.75</v>
      </c>
      <c r="S10" s="4">
        <f t="shared" si="10"/>
        <v>107</v>
      </c>
      <c r="T10" s="4">
        <f>+(C10)*SQRT(1+'Design Nala Bund Drg &amp; Summary'!D$22^2)</f>
        <v>10.956733089748971</v>
      </c>
      <c r="U10" s="4">
        <f t="shared" si="13"/>
        <v>10.621322893124002</v>
      </c>
      <c r="V10" s="4">
        <f t="shared" si="11"/>
        <v>42.48529157249601</v>
      </c>
      <c r="W10" s="431"/>
    </row>
    <row r="11" spans="1:24" ht="21" customHeight="1">
      <c r="A11" s="3">
        <f>'Input data'!B37</f>
        <v>24</v>
      </c>
      <c r="B11" s="3">
        <f t="shared" si="1"/>
        <v>95</v>
      </c>
      <c r="C11" s="3">
        <f>'Input data'!D37</f>
        <v>5</v>
      </c>
      <c r="D11" s="4">
        <f>+(C11*('Design Nala Bund Drg &amp; Summary'!D$23+'Design Nala Bund Drg &amp; Summary'!D$22)+2*'Design Nala Bund Drg &amp; Summary'!D$14)*C11/2</f>
        <v>77.5</v>
      </c>
      <c r="E11" s="4">
        <f t="shared" si="2"/>
        <v>76.112500000000011</v>
      </c>
      <c r="F11" s="3">
        <f t="shared" si="3"/>
        <v>4</v>
      </c>
      <c r="G11" s="4">
        <f t="shared" si="0"/>
        <v>304.45000000000005</v>
      </c>
      <c r="H11" s="4">
        <f>(C11-'Input data'!D$25)*'Design Nala Bund Drg &amp; Summary'!D$16</f>
        <v>10.5</v>
      </c>
      <c r="I11" s="4">
        <f t="shared" si="4"/>
        <v>10.350000000000001</v>
      </c>
      <c r="J11" s="3">
        <f t="shared" si="5"/>
        <v>41.400000000000006</v>
      </c>
      <c r="K11" s="4">
        <f>+(C11-'Design Nala Bund Drg &amp; Summary'!D$13)*SQRT(1+'Design Nala Bund Drg &amp; Summary'!D$23^2)+0.15</f>
        <v>11.217971810589329</v>
      </c>
      <c r="L11" s="4">
        <f t="shared" si="6"/>
        <v>11.059857927580911</v>
      </c>
      <c r="M11" s="4">
        <f t="shared" si="7"/>
        <v>44.239431710323643</v>
      </c>
      <c r="N11" s="4">
        <f>+C11^2*(1+'Design Nala Bund Drg &amp; Summary'!D$22^2)/(32*'Design Nala Bund Drg &amp; Summary'!D$22)</f>
        <v>1.953125</v>
      </c>
      <c r="O11" s="4">
        <f t="shared" si="8"/>
        <v>1.9144531250000001</v>
      </c>
      <c r="P11" s="4">
        <f t="shared" si="9"/>
        <v>7.6578125000000004</v>
      </c>
      <c r="Q11" s="4">
        <f>+(C11*('Design Nala Bund Drg &amp; Summary'!D$23+'Design Nala Bund Drg &amp; Summary'!D$22)+'Design Nala Bund Drg &amp; Summary'!D$14)</f>
        <v>28</v>
      </c>
      <c r="R11" s="4">
        <f t="shared" si="12"/>
        <v>27.75</v>
      </c>
      <c r="S11" s="4">
        <f t="shared" si="10"/>
        <v>111</v>
      </c>
      <c r="T11" s="4">
        <f>+(C11)*SQRT(1+'Design Nala Bund Drg &amp; Summary'!D$22^2)</f>
        <v>11.180339887498949</v>
      </c>
      <c r="U11" s="4">
        <f t="shared" si="13"/>
        <v>11.068536488623959</v>
      </c>
      <c r="V11" s="4">
        <f t="shared" si="11"/>
        <v>44.274145954495836</v>
      </c>
      <c r="W11" s="431"/>
    </row>
    <row r="12" spans="1:24" ht="21" customHeight="1">
      <c r="A12" s="3">
        <f>'Input data'!B38</f>
        <v>28</v>
      </c>
      <c r="B12" s="3">
        <f t="shared" si="1"/>
        <v>95.1</v>
      </c>
      <c r="C12" s="3">
        <f>'Input data'!D38</f>
        <v>4.9000000000000004</v>
      </c>
      <c r="D12" s="4">
        <f>+(C12*('Design Nala Bund Drg &amp; Summary'!D$23+'Design Nala Bund Drg &amp; Summary'!D$22)+2*'Design Nala Bund Drg &amp; Summary'!D$14)*C12/2</f>
        <v>74.725000000000009</v>
      </c>
      <c r="E12" s="4">
        <f t="shared" si="2"/>
        <v>76.112500000000011</v>
      </c>
      <c r="F12" s="3">
        <f t="shared" si="3"/>
        <v>4</v>
      </c>
      <c r="G12" s="4">
        <f t="shared" si="0"/>
        <v>304.45000000000005</v>
      </c>
      <c r="H12" s="4">
        <f>(C12-'Input data'!D$25)*'Design Nala Bund Drg &amp; Summary'!D$16</f>
        <v>10.200000000000001</v>
      </c>
      <c r="I12" s="4">
        <f t="shared" si="4"/>
        <v>10.350000000000001</v>
      </c>
      <c r="J12" s="3">
        <f t="shared" si="5"/>
        <v>41.400000000000006</v>
      </c>
      <c r="K12" s="4">
        <f>+(C12-'Design Nala Bund Drg &amp; Summary'!D$13)*SQRT(1+'Design Nala Bund Drg &amp; Summary'!D$23^2)+0.15</f>
        <v>10.901744044572492</v>
      </c>
      <c r="L12" s="4">
        <f t="shared" si="6"/>
        <v>11.059857927580911</v>
      </c>
      <c r="M12" s="4">
        <f t="shared" si="7"/>
        <v>44.239431710323643</v>
      </c>
      <c r="N12" s="4">
        <f>+C12^2*(1+'Design Nala Bund Drg &amp; Summary'!D$22^2)/(32*'Design Nala Bund Drg &amp; Summary'!D$22)</f>
        <v>1.8757812500000004</v>
      </c>
      <c r="O12" s="4">
        <f t="shared" si="8"/>
        <v>1.9144531250000001</v>
      </c>
      <c r="P12" s="4">
        <f t="shared" si="9"/>
        <v>7.6578125000000004</v>
      </c>
      <c r="Q12" s="4">
        <f>+(C12*('Design Nala Bund Drg &amp; Summary'!D$23+'Design Nala Bund Drg &amp; Summary'!D$22)+'Design Nala Bund Drg &amp; Summary'!D$14)</f>
        <v>27.5</v>
      </c>
      <c r="R12" s="4">
        <f t="shared" si="12"/>
        <v>27.75</v>
      </c>
      <c r="S12" s="4">
        <f t="shared" si="10"/>
        <v>111</v>
      </c>
      <c r="T12" s="4">
        <f>+(C12)*SQRT(1+'Design Nala Bund Drg &amp; Summary'!D$22^2)</f>
        <v>10.956733089748971</v>
      </c>
      <c r="U12" s="4">
        <f t="shared" si="13"/>
        <v>11.068536488623959</v>
      </c>
      <c r="V12" s="4">
        <f t="shared" si="11"/>
        <v>44.274145954495836</v>
      </c>
      <c r="W12" s="431"/>
    </row>
    <row r="13" spans="1:24" ht="21" customHeight="1">
      <c r="A13" s="3">
        <f>'Input data'!B39</f>
        <v>32</v>
      </c>
      <c r="B13" s="3">
        <f t="shared" si="1"/>
        <v>95.4</v>
      </c>
      <c r="C13" s="3">
        <f>'Input data'!D39</f>
        <v>4.5999999999999996</v>
      </c>
      <c r="D13" s="4">
        <f>+(C13*('Design Nala Bund Drg &amp; Summary'!D$23+'Design Nala Bund Drg &amp; Summary'!D$22)+2*'Design Nala Bund Drg &amp; Summary'!D$14)*C13/2</f>
        <v>66.699999999999989</v>
      </c>
      <c r="E13" s="4">
        <f t="shared" si="2"/>
        <v>70.712500000000006</v>
      </c>
      <c r="F13" s="3">
        <f t="shared" si="3"/>
        <v>4</v>
      </c>
      <c r="G13" s="4">
        <f t="shared" si="0"/>
        <v>282.85000000000002</v>
      </c>
      <c r="H13" s="4">
        <f>(C13-'Input data'!D$25)*'Design Nala Bund Drg &amp; Summary'!D$16</f>
        <v>9.2999999999999989</v>
      </c>
      <c r="I13" s="4">
        <f t="shared" si="4"/>
        <v>9.75</v>
      </c>
      <c r="J13" s="3">
        <f t="shared" si="5"/>
        <v>39</v>
      </c>
      <c r="K13" s="4">
        <f>+(C13-'Design Nala Bund Drg &amp; Summary'!D$13)*SQRT(1+'Design Nala Bund Drg &amp; Summary'!D$23^2)+0.15</f>
        <v>9.9530607465219756</v>
      </c>
      <c r="L13" s="4">
        <f t="shared" si="6"/>
        <v>10.427402395547233</v>
      </c>
      <c r="M13" s="4">
        <f t="shared" si="7"/>
        <v>41.709609582188932</v>
      </c>
      <c r="N13" s="4">
        <f>+C13^2*(1+'Design Nala Bund Drg &amp; Summary'!D$22^2)/(32*'Design Nala Bund Drg &amp; Summary'!D$22)</f>
        <v>1.6531249999999997</v>
      </c>
      <c r="O13" s="4">
        <f t="shared" si="8"/>
        <v>1.7644531250000002</v>
      </c>
      <c r="P13" s="4">
        <f t="shared" si="9"/>
        <v>7.0578125000000007</v>
      </c>
      <c r="Q13" s="4">
        <f>+(C13*('Design Nala Bund Drg &amp; Summary'!D$23+'Design Nala Bund Drg &amp; Summary'!D$22)+'Design Nala Bund Drg &amp; Summary'!D$14)</f>
        <v>26</v>
      </c>
      <c r="R13" s="4">
        <f t="shared" si="12"/>
        <v>26.75</v>
      </c>
      <c r="S13" s="4">
        <f t="shared" si="10"/>
        <v>107</v>
      </c>
      <c r="T13" s="4">
        <f>+(C13)*SQRT(1+'Design Nala Bund Drg &amp; Summary'!D$22^2)</f>
        <v>10.285912696499032</v>
      </c>
      <c r="U13" s="4">
        <f t="shared" si="13"/>
        <v>10.621322893124002</v>
      </c>
      <c r="V13" s="4">
        <f t="shared" si="11"/>
        <v>42.48529157249601</v>
      </c>
      <c r="W13" s="431"/>
      <c r="X13" s="459"/>
    </row>
    <row r="14" spans="1:24" ht="21" customHeight="1">
      <c r="A14" s="3">
        <f>'Input data'!B40</f>
        <v>36</v>
      </c>
      <c r="B14" s="3">
        <f t="shared" si="1"/>
        <v>96.7</v>
      </c>
      <c r="C14" s="3">
        <f>'Input data'!D40</f>
        <v>3.3</v>
      </c>
      <c r="D14" s="4">
        <f>+(C14*('Design Nala Bund Drg &amp; Summary'!D$23+'Design Nala Bund Drg &amp; Summary'!D$22)+2*'Design Nala Bund Drg &amp; Summary'!D$14)*C14/2</f>
        <v>37.125</v>
      </c>
      <c r="E14" s="4">
        <f t="shared" si="2"/>
        <v>51.912499999999994</v>
      </c>
      <c r="F14" s="3">
        <f t="shared" si="3"/>
        <v>4</v>
      </c>
      <c r="G14" s="4">
        <f t="shared" si="0"/>
        <v>207.64999999999998</v>
      </c>
      <c r="H14" s="4">
        <f>(C14-'Input data'!D$25)*'Design Nala Bund Drg &amp; Summary'!D$16</f>
        <v>5.3999999999999995</v>
      </c>
      <c r="I14" s="4">
        <f t="shared" si="4"/>
        <v>7.35</v>
      </c>
      <c r="J14" s="3">
        <f t="shared" si="5"/>
        <v>29.4</v>
      </c>
      <c r="K14" s="4">
        <f>+(C14-'Design Nala Bund Drg &amp; Summary'!D$13)*SQRT(1+'Design Nala Bund Drg &amp; Summary'!D$23^2)+0.15</f>
        <v>5.8420997883030825</v>
      </c>
      <c r="L14" s="4">
        <f t="shared" si="6"/>
        <v>7.8975802674125291</v>
      </c>
      <c r="M14" s="4">
        <f t="shared" si="7"/>
        <v>31.590321069650116</v>
      </c>
      <c r="N14" s="4">
        <f>+C14^2*(1+'Design Nala Bund Drg &amp; Summary'!D$22^2)/(32*'Design Nala Bund Drg &amp; Summary'!D$22)</f>
        <v>0.85078124999999993</v>
      </c>
      <c r="O14" s="4">
        <f t="shared" si="8"/>
        <v>1.2519531249999998</v>
      </c>
      <c r="P14" s="4">
        <f t="shared" si="9"/>
        <v>5.0078124999999991</v>
      </c>
      <c r="Q14" s="4">
        <f>+(C14*('Design Nala Bund Drg &amp; Summary'!D$23+'Design Nala Bund Drg &amp; Summary'!D$22)+'Design Nala Bund Drg &amp; Summary'!D$14)</f>
        <v>19.5</v>
      </c>
      <c r="R14" s="4">
        <f t="shared" si="12"/>
        <v>22.75</v>
      </c>
      <c r="S14" s="4">
        <f t="shared" si="10"/>
        <v>91</v>
      </c>
      <c r="T14" s="4">
        <f>+(C14)*SQRT(1+'Design Nala Bund Drg &amp; Summary'!D$22^2)</f>
        <v>7.379024325749306</v>
      </c>
      <c r="U14" s="4">
        <f t="shared" si="13"/>
        <v>8.8324685111241692</v>
      </c>
      <c r="V14" s="4">
        <f t="shared" si="11"/>
        <v>35.329874044496677</v>
      </c>
      <c r="W14" s="431"/>
    </row>
    <row r="15" spans="1:24" ht="21" customHeight="1">
      <c r="A15" s="3">
        <f>'Input data'!B41</f>
        <v>40</v>
      </c>
      <c r="B15" s="3">
        <f t="shared" si="1"/>
        <v>100</v>
      </c>
      <c r="C15" s="3">
        <f>'Input data'!D41</f>
        <v>0</v>
      </c>
      <c r="D15" s="4">
        <f>+(C15*('Design Nala Bund Drg &amp; Summary'!D$23+'Design Nala Bund Drg &amp; Summary'!D$22)+2*'Design Nala Bund Drg &amp; Summary'!D$14)*C15/2</f>
        <v>0</v>
      </c>
      <c r="E15" s="4">
        <f t="shared" si="2"/>
        <v>18.5625</v>
      </c>
      <c r="F15" s="3">
        <f t="shared" si="3"/>
        <v>4</v>
      </c>
      <c r="G15" s="4">
        <f t="shared" si="0"/>
        <v>74.25</v>
      </c>
      <c r="H15" s="4"/>
      <c r="I15" s="4">
        <f>+(H15+H14)/2</f>
        <v>2.6999999999999997</v>
      </c>
      <c r="J15" s="3">
        <f t="shared" si="5"/>
        <v>10.799999999999999</v>
      </c>
      <c r="K15" s="4"/>
      <c r="L15" s="4">
        <f t="shared" si="6"/>
        <v>2.9210498941515413</v>
      </c>
      <c r="M15" s="4">
        <f t="shared" si="7"/>
        <v>11.684199576606165</v>
      </c>
      <c r="N15" s="4">
        <f>+C15^2*(1+'Design Nala Bund Drg &amp; Summary'!D$22^2)/(32*'Design Nala Bund Drg &amp; Summary'!D$22)</f>
        <v>0</v>
      </c>
      <c r="O15" s="4">
        <f t="shared" si="8"/>
        <v>0.42539062499999997</v>
      </c>
      <c r="P15" s="4">
        <f t="shared" si="9"/>
        <v>1.7015624999999999</v>
      </c>
      <c r="Q15" s="4">
        <f>+(C15*('Design Nala Bund Drg &amp; Summary'!D$23+'Design Nala Bund Drg &amp; Summary'!D$22)+'Design Nala Bund Drg &amp; Summary'!D$14)</f>
        <v>3</v>
      </c>
      <c r="R15" s="4">
        <f t="shared" si="12"/>
        <v>11.25</v>
      </c>
      <c r="S15" s="4">
        <f t="shared" si="10"/>
        <v>45</v>
      </c>
      <c r="T15" s="4">
        <f>+(C15)*SQRT(1+'Design Nala Bund Drg &amp; Summary'!D$22^2)</f>
        <v>0</v>
      </c>
      <c r="U15" s="4">
        <f t="shared" si="13"/>
        <v>3.689512162874653</v>
      </c>
      <c r="V15" s="4">
        <f t="shared" si="11"/>
        <v>14.758048651498612</v>
      </c>
    </row>
    <row r="16" spans="1:24" ht="21" customHeight="1">
      <c r="A16" s="3">
        <f>A15+5</f>
        <v>45</v>
      </c>
      <c r="B16" s="3">
        <f t="shared" si="1"/>
        <v>100.3</v>
      </c>
      <c r="C16" s="3">
        <v>-0.3</v>
      </c>
      <c r="D16" s="4"/>
      <c r="E16" s="4">
        <f t="shared" si="2"/>
        <v>0</v>
      </c>
      <c r="F16" s="256">
        <f t="shared" si="3"/>
        <v>5</v>
      </c>
      <c r="G16" s="4">
        <f t="shared" si="0"/>
        <v>0</v>
      </c>
      <c r="H16" s="3"/>
      <c r="I16" s="4">
        <f t="shared" si="4"/>
        <v>0</v>
      </c>
      <c r="J16" s="3">
        <f t="shared" si="5"/>
        <v>0</v>
      </c>
      <c r="K16" s="4"/>
      <c r="L16" s="4">
        <f t="shared" si="6"/>
        <v>0</v>
      </c>
      <c r="M16" s="4">
        <f t="shared" si="7"/>
        <v>0</v>
      </c>
      <c r="N16" s="4"/>
      <c r="O16" s="4"/>
      <c r="P16" s="4"/>
      <c r="Q16" s="4"/>
      <c r="R16" s="4"/>
      <c r="S16" s="4"/>
      <c r="T16" s="4"/>
      <c r="U16" s="4"/>
      <c r="V16" s="4"/>
    </row>
    <row r="17" spans="1:22" ht="21" customHeight="1">
      <c r="A17" s="4">
        <f>A16</f>
        <v>45</v>
      </c>
      <c r="B17" s="4">
        <f>B$5-C17</f>
        <v>97.6</v>
      </c>
      <c r="C17" s="4">
        <f>'Design Nala Bund Drg &amp; Summary'!D13+'Design Nala Bund Drg &amp; Summary'!D8</f>
        <v>2.4</v>
      </c>
      <c r="D17" s="4"/>
      <c r="E17" s="4">
        <f t="shared" si="2"/>
        <v>0</v>
      </c>
      <c r="F17" s="3">
        <f t="shared" si="3"/>
        <v>0</v>
      </c>
      <c r="G17" s="4">
        <f t="shared" si="0"/>
        <v>0</v>
      </c>
      <c r="H17" s="3"/>
      <c r="I17" s="4">
        <f t="shared" si="4"/>
        <v>0</v>
      </c>
      <c r="J17" s="3">
        <f t="shared" si="5"/>
        <v>0</v>
      </c>
      <c r="K17" s="4"/>
      <c r="L17" s="4">
        <f t="shared" si="6"/>
        <v>0</v>
      </c>
      <c r="M17" s="4">
        <f t="shared" si="7"/>
        <v>0</v>
      </c>
      <c r="N17" s="4"/>
      <c r="O17" s="4"/>
      <c r="P17" s="4"/>
      <c r="Q17" s="4"/>
      <c r="R17" s="4"/>
      <c r="S17" s="4"/>
      <c r="T17" s="4"/>
      <c r="U17" s="4"/>
      <c r="V17" s="4"/>
    </row>
    <row r="18" spans="1:22" ht="21" customHeight="1">
      <c r="A18" s="4">
        <f>A17+'Design Nala Bund Drg &amp; Summary'!D18</f>
        <v>51.263359220412724</v>
      </c>
      <c r="B18" s="3">
        <f t="shared" si="1"/>
        <v>97.6</v>
      </c>
      <c r="C18" s="4">
        <f>C17</f>
        <v>2.4</v>
      </c>
      <c r="D18" s="4"/>
      <c r="E18" s="4">
        <f t="shared" si="2"/>
        <v>0</v>
      </c>
      <c r="F18" s="4">
        <f t="shared" si="3"/>
        <v>6.263359220412724</v>
      </c>
      <c r="G18" s="4">
        <f t="shared" si="0"/>
        <v>0</v>
      </c>
      <c r="H18" s="3"/>
      <c r="I18" s="3">
        <f t="shared" si="4"/>
        <v>0</v>
      </c>
      <c r="J18" s="3">
        <f t="shared" si="5"/>
        <v>0</v>
      </c>
      <c r="K18" s="4"/>
      <c r="L18" s="4">
        <f t="shared" si="6"/>
        <v>0</v>
      </c>
      <c r="M18" s="4">
        <f t="shared" si="7"/>
        <v>0</v>
      </c>
      <c r="N18" s="4"/>
      <c r="O18" s="4"/>
      <c r="P18" s="4"/>
      <c r="Q18" s="4"/>
      <c r="R18" s="4"/>
      <c r="S18" s="4"/>
      <c r="T18" s="4"/>
      <c r="U18" s="4"/>
      <c r="V18" s="4"/>
    </row>
    <row r="19" spans="1:22" ht="21" customHeight="1">
      <c r="A19" s="4">
        <f>A18</f>
        <v>51.263359220412724</v>
      </c>
      <c r="B19" s="3">
        <f t="shared" si="1"/>
        <v>100.3</v>
      </c>
      <c r="C19" s="3">
        <f>C16</f>
        <v>-0.3</v>
      </c>
      <c r="D19" s="4"/>
      <c r="E19" s="4">
        <f t="shared" si="2"/>
        <v>0</v>
      </c>
      <c r="F19" s="3">
        <f t="shared" si="3"/>
        <v>0</v>
      </c>
      <c r="G19" s="4">
        <f t="shared" si="0"/>
        <v>0</v>
      </c>
      <c r="H19" s="3"/>
      <c r="I19" s="3">
        <f t="shared" si="4"/>
        <v>0</v>
      </c>
      <c r="J19" s="3">
        <f t="shared" si="5"/>
        <v>0</v>
      </c>
      <c r="K19" s="4"/>
      <c r="L19" s="4">
        <f t="shared" si="6"/>
        <v>0</v>
      </c>
      <c r="M19" s="4">
        <f t="shared" si="7"/>
        <v>0</v>
      </c>
      <c r="N19" s="4"/>
      <c r="O19" s="4"/>
      <c r="P19" s="4"/>
      <c r="Q19" s="4"/>
      <c r="R19" s="4"/>
      <c r="S19" s="4"/>
      <c r="T19" s="4"/>
      <c r="U19" s="4"/>
      <c r="V19" s="4"/>
    </row>
    <row r="20" spans="1:22" ht="21" customHeight="1">
      <c r="A20" s="3"/>
      <c r="B20" s="3"/>
      <c r="C20" s="5"/>
      <c r="D20" s="4"/>
      <c r="E20" s="4"/>
      <c r="F20" s="3"/>
      <c r="G20" s="4"/>
      <c r="H20" s="3"/>
      <c r="I20" s="3"/>
      <c r="J20" s="3"/>
      <c r="K20" s="4"/>
      <c r="L20" s="4"/>
      <c r="M20" s="4"/>
      <c r="N20" s="4"/>
      <c r="O20" s="4"/>
      <c r="P20" s="4"/>
      <c r="Q20" s="4"/>
      <c r="R20" s="4"/>
      <c r="S20" s="4"/>
      <c r="T20" s="4"/>
      <c r="U20" s="4"/>
      <c r="V20" s="4"/>
    </row>
    <row r="21" spans="1:22" ht="21" customHeight="1">
      <c r="A21" s="3"/>
      <c r="B21" s="3"/>
      <c r="C21" s="3"/>
      <c r="D21" s="4"/>
      <c r="E21" s="3"/>
      <c r="F21" s="6">
        <f>SUM(F6:F20)</f>
        <v>51.263359220412724</v>
      </c>
      <c r="G21" s="288">
        <f>SUM(G6:G20)</f>
        <v>2140.0000000000005</v>
      </c>
      <c r="H21" s="4"/>
      <c r="I21" s="4"/>
      <c r="J21" s="6">
        <f>SUM(J6:J20)</f>
        <v>298.8</v>
      </c>
      <c r="K21" s="4"/>
      <c r="L21" s="4"/>
      <c r="M21" s="6">
        <f>SUM(M6:M20)</f>
        <v>320.36285495277059</v>
      </c>
      <c r="N21" s="4"/>
      <c r="O21" s="4"/>
      <c r="P21" s="6">
        <f>SUM(P6:P20)</f>
        <v>52.475000000000001</v>
      </c>
      <c r="Q21" s="6"/>
      <c r="R21" s="6"/>
      <c r="S21" s="6">
        <f>SUM(S6:S20)</f>
        <v>857</v>
      </c>
      <c r="T21" s="6"/>
      <c r="U21" s="6"/>
      <c r="V21" s="6">
        <f>SUM(V6:V20)</f>
        <v>329.59641988346903</v>
      </c>
    </row>
    <row r="23" spans="1:22">
      <c r="B23" s="597" t="s">
        <v>428</v>
      </c>
      <c r="C23" s="597"/>
      <c r="D23" s="597"/>
      <c r="E23" s="597"/>
      <c r="F23" s="597"/>
      <c r="G23" s="597"/>
      <c r="H23" s="597"/>
      <c r="I23" s="597"/>
      <c r="J23" s="597"/>
      <c r="K23" s="597"/>
      <c r="L23" s="597"/>
      <c r="M23" s="597"/>
      <c r="N23" s="597"/>
      <c r="O23" s="597"/>
      <c r="P23" s="597"/>
      <c r="Q23" s="597"/>
      <c r="R23" s="597"/>
      <c r="S23" s="597"/>
      <c r="T23" s="597"/>
    </row>
    <row r="24" spans="1:22">
      <c r="B24" s="596"/>
      <c r="C24" s="596"/>
      <c r="D24" s="596"/>
      <c r="E24" s="596"/>
      <c r="F24" s="596"/>
      <c r="G24" s="596"/>
      <c r="H24" s="596"/>
      <c r="I24" s="596"/>
      <c r="J24" s="596"/>
      <c r="K24" s="596"/>
      <c r="L24" s="596"/>
      <c r="M24" s="596"/>
      <c r="N24" s="596"/>
      <c r="O24" s="596"/>
      <c r="P24" s="596"/>
      <c r="Q24" s="596"/>
      <c r="R24" s="596"/>
      <c r="S24" s="596"/>
      <c r="T24" s="596"/>
    </row>
    <row r="28" spans="1:22" ht="89.25" customHeight="1">
      <c r="D28" s="566"/>
      <c r="E28" s="566"/>
      <c r="F28" s="566"/>
      <c r="G28" s="27"/>
      <c r="H28" s="591"/>
      <c r="I28" s="591"/>
      <c r="J28" s="591"/>
      <c r="K28" s="591"/>
      <c r="L28" s="591"/>
      <c r="M28" s="591"/>
      <c r="N28" s="591"/>
      <c r="O28" s="591"/>
      <c r="P28" s="591"/>
      <c r="Q28" s="591"/>
      <c r="R28" s="591"/>
      <c r="S28" s="591"/>
      <c r="T28" s="591"/>
      <c r="U28" s="591"/>
      <c r="V28" s="591"/>
    </row>
  </sheetData>
  <sheetProtection algorithmName="SHA-512" hashValue="t2xWQ1dS2paBng6Ky/7maoUYCtkxtJlicYpE+WP/CC5ui3Yin0KZwUcjXfISknogLXsKVyjxRMVsa8yAPNaxbg==" saltValue="NjeIPqrHlkQNEgfL8h2XHw==" spinCount="100000" sheet="1" objects="1" scenarios="1"/>
  <mergeCells count="12">
    <mergeCell ref="D28:F28"/>
    <mergeCell ref="H28:V28"/>
    <mergeCell ref="S1:V1"/>
    <mergeCell ref="Q3:S3"/>
    <mergeCell ref="T3:V3"/>
    <mergeCell ref="B3:G3"/>
    <mergeCell ref="H3:J3"/>
    <mergeCell ref="K3:M3"/>
    <mergeCell ref="N3:P3"/>
    <mergeCell ref="B24:T24"/>
    <mergeCell ref="B23:T23"/>
    <mergeCell ref="A2:O2"/>
  </mergeCells>
  <pageMargins left="0.5" right="0" top="0.75" bottom="0.2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307"/>
  <sheetViews>
    <sheetView tabSelected="1" view="pageBreakPreview" topLeftCell="C52" zoomScale="90" zoomScaleNormal="100" zoomScaleSheetLayoutView="90" workbookViewId="0">
      <selection activeCell="K58" sqref="K58"/>
    </sheetView>
  </sheetViews>
  <sheetFormatPr defaultRowHeight="15.75"/>
  <cols>
    <col min="1" max="1" width="4" style="40" customWidth="1"/>
    <col min="2" max="2" width="12.140625" style="40" customWidth="1"/>
    <col min="3" max="3" width="25.85546875" style="40" customWidth="1"/>
    <col min="4" max="4" width="4.140625" style="40" customWidth="1"/>
    <col min="5" max="5" width="6" style="40" customWidth="1"/>
    <col min="6" max="6" width="8.28515625" style="40" customWidth="1"/>
    <col min="7" max="7" width="5.7109375" style="41" customWidth="1"/>
    <col min="8" max="8" width="9.85546875" style="40" customWidth="1"/>
    <col min="9" max="9" width="9.5703125" style="40" customWidth="1"/>
    <col min="10" max="10" width="6.140625" style="42" customWidth="1"/>
    <col min="11" max="11" width="8.140625" style="43" customWidth="1"/>
    <col min="12" max="12" width="10.85546875" style="43" customWidth="1"/>
    <col min="13" max="13" width="9" style="30" customWidth="1"/>
    <col min="14" max="14" width="10.140625" style="347" customWidth="1"/>
    <col min="15" max="15" width="11" style="347" customWidth="1"/>
    <col min="16" max="16384" width="9.140625" style="313"/>
  </cols>
  <sheetData>
    <row r="1" spans="1:15" ht="18.75">
      <c r="A1" s="651" t="s">
        <v>333</v>
      </c>
      <c r="B1" s="652"/>
      <c r="C1" s="652"/>
      <c r="D1" s="652"/>
      <c r="E1" s="652"/>
      <c r="F1" s="652"/>
      <c r="G1" s="652"/>
      <c r="H1" s="652"/>
      <c r="I1" s="652"/>
      <c r="J1" s="652"/>
      <c r="K1" s="652"/>
      <c r="L1" s="652"/>
      <c r="M1" s="652"/>
      <c r="N1" s="652"/>
      <c r="O1" s="653"/>
    </row>
    <row r="2" spans="1:15" ht="15.75" customHeight="1">
      <c r="A2" s="655" t="s">
        <v>351</v>
      </c>
      <c r="B2" s="655"/>
      <c r="C2" s="402" t="s">
        <v>350</v>
      </c>
      <c r="D2" s="655" t="s">
        <v>352</v>
      </c>
      <c r="E2" s="655"/>
      <c r="F2" s="655" t="s">
        <v>353</v>
      </c>
      <c r="G2" s="655"/>
      <c r="H2" s="402" t="s">
        <v>354</v>
      </c>
      <c r="I2" s="402" t="s">
        <v>355</v>
      </c>
      <c r="J2" s="315"/>
      <c r="K2" s="315"/>
      <c r="L2" s="315"/>
      <c r="M2" s="315"/>
      <c r="N2" s="315"/>
      <c r="O2" s="401"/>
    </row>
    <row r="3" spans="1:15" ht="25.5" customHeight="1">
      <c r="A3" s="629" t="s">
        <v>365</v>
      </c>
      <c r="B3" s="629"/>
      <c r="C3" s="416">
        <f>'Input data'!D6</f>
        <v>69</v>
      </c>
      <c r="D3" s="629" t="s">
        <v>366</v>
      </c>
      <c r="E3" s="629"/>
      <c r="F3" s="415">
        <f>'Input data'!D7</f>
        <v>3.1</v>
      </c>
      <c r="G3" s="629" t="s">
        <v>367</v>
      </c>
      <c r="H3" s="629"/>
      <c r="I3" s="629"/>
      <c r="J3" s="414">
        <f>'Qty estimate'!A15</f>
        <v>40</v>
      </c>
      <c r="K3" s="314" t="s">
        <v>368</v>
      </c>
      <c r="L3" s="413">
        <f>'Design Nala Bund Drg &amp; Summary'!D14</f>
        <v>3</v>
      </c>
      <c r="M3" s="412" t="s">
        <v>369</v>
      </c>
      <c r="N3" s="654">
        <f>+'Design Nala Bund Drg &amp; Summary'!D15</f>
        <v>28</v>
      </c>
      <c r="O3" s="654"/>
    </row>
    <row r="4" spans="1:15" ht="12.75" customHeight="1">
      <c r="A4" s="405"/>
      <c r="B4" s="405"/>
      <c r="C4" s="26"/>
      <c r="D4" s="406"/>
      <c r="E4" s="406"/>
      <c r="F4" s="406"/>
      <c r="G4" s="405"/>
      <c r="H4" s="405"/>
      <c r="I4" s="405"/>
      <c r="J4" s="407"/>
      <c r="K4" s="407"/>
      <c r="L4" s="26"/>
      <c r="M4" s="408"/>
      <c r="N4" s="407"/>
      <c r="O4" s="407"/>
    </row>
    <row r="5" spans="1:15" ht="54.75" customHeight="1">
      <c r="A5" s="400" t="s">
        <v>60</v>
      </c>
      <c r="B5" s="418" t="s">
        <v>399</v>
      </c>
      <c r="C5" s="418" t="s">
        <v>62</v>
      </c>
      <c r="D5" s="629" t="s">
        <v>63</v>
      </c>
      <c r="E5" s="629"/>
      <c r="F5" s="418" t="s">
        <v>64</v>
      </c>
      <c r="G5" s="416" t="s">
        <v>59</v>
      </c>
      <c r="H5" s="418" t="s">
        <v>377</v>
      </c>
      <c r="I5" s="418" t="s">
        <v>66</v>
      </c>
      <c r="J5" s="418" t="s">
        <v>67</v>
      </c>
      <c r="K5" s="418" t="s">
        <v>196</v>
      </c>
      <c r="L5" s="418" t="s">
        <v>68</v>
      </c>
      <c r="M5" s="418" t="s">
        <v>370</v>
      </c>
      <c r="N5" s="404" t="s">
        <v>70</v>
      </c>
      <c r="O5" s="417" t="s">
        <v>384</v>
      </c>
    </row>
    <row r="6" spans="1:15">
      <c r="A6" s="409">
        <v>1</v>
      </c>
      <c r="B6" s="409">
        <v>2</v>
      </c>
      <c r="C6" s="409">
        <v>3</v>
      </c>
      <c r="D6" s="409">
        <v>4</v>
      </c>
      <c r="E6" s="409">
        <v>5</v>
      </c>
      <c r="F6" s="409">
        <v>6</v>
      </c>
      <c r="G6" s="410">
        <v>7</v>
      </c>
      <c r="H6" s="409">
        <v>8</v>
      </c>
      <c r="I6" s="409">
        <v>9</v>
      </c>
      <c r="J6" s="409">
        <v>10</v>
      </c>
      <c r="K6" s="409">
        <v>11</v>
      </c>
      <c r="L6" s="409">
        <v>12</v>
      </c>
      <c r="M6" s="409">
        <v>13</v>
      </c>
      <c r="N6" s="411">
        <v>14</v>
      </c>
      <c r="O6" s="411">
        <v>15</v>
      </c>
    </row>
    <row r="7" spans="1:15" ht="15.75" customHeight="1">
      <c r="A7" s="319">
        <v>1</v>
      </c>
      <c r="B7" s="319" t="s">
        <v>282</v>
      </c>
      <c r="C7" s="621" t="s">
        <v>71</v>
      </c>
      <c r="D7" s="622"/>
      <c r="E7" s="622"/>
      <c r="F7" s="622"/>
      <c r="G7" s="622"/>
      <c r="H7" s="622"/>
      <c r="I7" s="622"/>
      <c r="J7" s="622"/>
      <c r="K7" s="622"/>
      <c r="L7" s="622"/>
      <c r="M7" s="622"/>
      <c r="N7" s="623"/>
      <c r="O7" s="320"/>
    </row>
    <row r="8" spans="1:15">
      <c r="A8" s="319"/>
      <c r="B8" s="319"/>
      <c r="C8" s="321" t="s">
        <v>202</v>
      </c>
      <c r="D8" s="322">
        <v>1</v>
      </c>
      <c r="E8" s="322">
        <v>1</v>
      </c>
      <c r="F8" s="323">
        <f>+'Design Nala Bund Drg &amp; Summary'!D20+'Design Nala Bund Drg &amp; Summary'!D18</f>
        <v>36.263359220412724</v>
      </c>
      <c r="G8" s="8">
        <f>N3</f>
        <v>28</v>
      </c>
      <c r="H8" s="323"/>
      <c r="I8" s="323">
        <f>G8*F8</f>
        <v>1015.3740581715563</v>
      </c>
      <c r="J8" s="324" t="s">
        <v>72</v>
      </c>
      <c r="K8" s="325"/>
      <c r="L8" s="326"/>
      <c r="M8" s="327"/>
      <c r="N8" s="326"/>
      <c r="O8" s="326"/>
    </row>
    <row r="9" spans="1:15">
      <c r="A9" s="319"/>
      <c r="B9" s="319"/>
      <c r="C9" s="321" t="s">
        <v>203</v>
      </c>
      <c r="D9" s="322">
        <v>1</v>
      </c>
      <c r="E9" s="322">
        <v>1</v>
      </c>
      <c r="F9" s="323">
        <f>F8</f>
        <v>36.263359220412724</v>
      </c>
      <c r="G9" s="8">
        <f>+F9*1.5</f>
        <v>54.395038830619086</v>
      </c>
      <c r="H9" s="323"/>
      <c r="I9" s="323">
        <f>G9*F9</f>
        <v>1972.5468329230389</v>
      </c>
      <c r="J9" s="324" t="s">
        <v>72</v>
      </c>
      <c r="K9" s="325"/>
      <c r="L9" s="326"/>
      <c r="M9" s="327"/>
      <c r="N9" s="326"/>
      <c r="O9" s="326"/>
    </row>
    <row r="10" spans="1:15">
      <c r="A10" s="386"/>
      <c r="B10" s="386"/>
      <c r="C10" s="321"/>
      <c r="D10" s="322"/>
      <c r="E10" s="322"/>
      <c r="F10" s="323"/>
      <c r="G10" s="8"/>
      <c r="H10" s="323" t="s">
        <v>273</v>
      </c>
      <c r="I10" s="323">
        <f>SUM(I8:I9)</f>
        <v>2987.9208910945954</v>
      </c>
      <c r="J10" s="324" t="s">
        <v>72</v>
      </c>
      <c r="K10" s="716">
        <v>2.13</v>
      </c>
      <c r="L10" s="326">
        <f>K10*I10</f>
        <v>6364.2714980314877</v>
      </c>
      <c r="M10" s="717">
        <v>2.0499999999999998</v>
      </c>
      <c r="N10" s="326">
        <f>M10*I10</f>
        <v>6125.2378267439199</v>
      </c>
      <c r="O10" s="326">
        <f>L10-N10</f>
        <v>239.03367128756781</v>
      </c>
    </row>
    <row r="11" spans="1:15">
      <c r="A11" s="328">
        <v>2</v>
      </c>
      <c r="B11" s="328" t="s">
        <v>283</v>
      </c>
      <c r="C11" s="630" t="s">
        <v>73</v>
      </c>
      <c r="D11" s="630"/>
      <c r="E11" s="630"/>
      <c r="F11" s="630"/>
      <c r="G11" s="419"/>
      <c r="H11" s="420"/>
      <c r="I11" s="421"/>
      <c r="J11" s="422"/>
      <c r="K11" s="423"/>
      <c r="L11" s="424"/>
      <c r="M11" s="424"/>
      <c r="N11" s="423"/>
      <c r="O11" s="425"/>
    </row>
    <row r="12" spans="1:15">
      <c r="A12" s="328"/>
      <c r="B12" s="328"/>
      <c r="C12" s="621" t="s">
        <v>371</v>
      </c>
      <c r="D12" s="622"/>
      <c r="E12" s="622"/>
      <c r="F12" s="622"/>
      <c r="G12" s="622"/>
      <c r="H12" s="622"/>
      <c r="I12" s="622"/>
      <c r="J12" s="622"/>
      <c r="K12" s="622"/>
      <c r="L12" s="622"/>
      <c r="M12" s="622"/>
      <c r="N12" s="622"/>
      <c r="O12" s="623"/>
    </row>
    <row r="13" spans="1:15">
      <c r="A13" s="328"/>
      <c r="B13" s="328"/>
      <c r="C13" s="331" t="s">
        <v>335</v>
      </c>
      <c r="D13" s="322">
        <v>1</v>
      </c>
      <c r="E13" s="322">
        <v>4</v>
      </c>
      <c r="F13" s="323">
        <f>F8</f>
        <v>36.263359220412724</v>
      </c>
      <c r="G13" s="332" t="s">
        <v>74</v>
      </c>
      <c r="H13" s="333" t="s">
        <v>74</v>
      </c>
      <c r="I13" s="323">
        <f>F13*E13*D13</f>
        <v>145.0534368816509</v>
      </c>
      <c r="J13" s="324" t="s">
        <v>75</v>
      </c>
      <c r="K13" s="325"/>
      <c r="L13" s="326"/>
      <c r="M13" s="327"/>
      <c r="N13" s="326"/>
      <c r="O13" s="326"/>
    </row>
    <row r="14" spans="1:15">
      <c r="A14" s="328"/>
      <c r="B14" s="328"/>
      <c r="C14" s="388" t="s">
        <v>336</v>
      </c>
      <c r="D14" s="344">
        <v>1</v>
      </c>
      <c r="E14" s="344">
        <v>2</v>
      </c>
      <c r="F14" s="389">
        <v>30</v>
      </c>
      <c r="G14" s="390"/>
      <c r="H14" s="391"/>
      <c r="I14" s="323">
        <f>F14*E14*D14</f>
        <v>60</v>
      </c>
      <c r="J14" s="324" t="s">
        <v>75</v>
      </c>
      <c r="K14" s="379"/>
      <c r="L14" s="340"/>
      <c r="M14" s="341"/>
      <c r="N14" s="340"/>
      <c r="O14" s="342"/>
    </row>
    <row r="15" spans="1:15">
      <c r="A15" s="328"/>
      <c r="B15" s="328"/>
      <c r="C15" s="388"/>
      <c r="D15" s="344"/>
      <c r="E15" s="344"/>
      <c r="F15" s="389"/>
      <c r="G15" s="390"/>
      <c r="H15" s="391" t="s">
        <v>273</v>
      </c>
      <c r="I15" s="389">
        <f>SUM(I13:I14)</f>
        <v>205.0534368816509</v>
      </c>
      <c r="J15" s="324" t="s">
        <v>75</v>
      </c>
      <c r="K15" s="716">
        <v>0.33</v>
      </c>
      <c r="L15" s="326">
        <f>K15*I15</f>
        <v>67.667634170944794</v>
      </c>
      <c r="M15" s="717">
        <f>K15</f>
        <v>0.33</v>
      </c>
      <c r="N15" s="326">
        <f>M15*I15</f>
        <v>67.667634170944794</v>
      </c>
      <c r="O15" s="326">
        <f>L15-N15</f>
        <v>0</v>
      </c>
    </row>
    <row r="16" spans="1:15">
      <c r="A16" s="328">
        <v>3</v>
      </c>
      <c r="B16" s="328" t="s">
        <v>284</v>
      </c>
      <c r="C16" s="621" t="s">
        <v>295</v>
      </c>
      <c r="D16" s="622"/>
      <c r="E16" s="622"/>
      <c r="F16" s="622"/>
      <c r="G16" s="622"/>
      <c r="H16" s="622"/>
      <c r="I16" s="622"/>
      <c r="J16" s="622"/>
      <c r="K16" s="622"/>
      <c r="L16" s="622"/>
      <c r="M16" s="622"/>
      <c r="N16" s="622"/>
      <c r="O16" s="623"/>
    </row>
    <row r="17" spans="1:15" ht="38.25">
      <c r="A17" s="328"/>
      <c r="B17" s="328"/>
      <c r="C17" s="321" t="s">
        <v>419</v>
      </c>
      <c r="D17" s="322">
        <v>1</v>
      </c>
      <c r="E17" s="322">
        <v>1</v>
      </c>
      <c r="F17" s="602">
        <f>+'Qty estimate'!S21</f>
        <v>857</v>
      </c>
      <c r="G17" s="603"/>
      <c r="H17" s="323">
        <v>0.15</v>
      </c>
      <c r="I17" s="323">
        <f>+F17*H17</f>
        <v>128.54999999999998</v>
      </c>
      <c r="J17" s="324" t="s">
        <v>76</v>
      </c>
      <c r="K17" s="716">
        <v>158.16</v>
      </c>
      <c r="L17" s="326">
        <f>I17*K17</f>
        <v>20331.467999999997</v>
      </c>
      <c r="M17" s="717">
        <v>152.08000000000001</v>
      </c>
      <c r="N17" s="326">
        <f>M17*I17</f>
        <v>19549.883999999998</v>
      </c>
      <c r="O17" s="326">
        <f>L17-N17</f>
        <v>781.58399999999892</v>
      </c>
    </row>
    <row r="18" spans="1:15" ht="33" customHeight="1">
      <c r="A18" s="328">
        <v>4</v>
      </c>
      <c r="B18" s="328" t="s">
        <v>285</v>
      </c>
      <c r="C18" s="621" t="s">
        <v>474</v>
      </c>
      <c r="D18" s="622"/>
      <c r="E18" s="622"/>
      <c r="F18" s="622"/>
      <c r="G18" s="622"/>
      <c r="H18" s="622"/>
      <c r="I18" s="622"/>
      <c r="J18" s="622"/>
      <c r="K18" s="622"/>
      <c r="L18" s="622"/>
      <c r="M18" s="622"/>
      <c r="N18" s="622"/>
      <c r="O18" s="623"/>
    </row>
    <row r="19" spans="1:15">
      <c r="A19" s="328"/>
      <c r="B19" s="334"/>
      <c r="C19" s="621" t="s">
        <v>78</v>
      </c>
      <c r="D19" s="622"/>
      <c r="E19" s="622"/>
      <c r="F19" s="622"/>
      <c r="G19" s="622"/>
      <c r="H19" s="623"/>
      <c r="I19" s="329"/>
      <c r="J19" s="312"/>
      <c r="K19" s="322"/>
      <c r="L19" s="326"/>
      <c r="M19" s="326"/>
      <c r="N19" s="322"/>
      <c r="O19" s="318"/>
    </row>
    <row r="20" spans="1:15">
      <c r="A20" s="328"/>
      <c r="B20" s="334"/>
      <c r="C20" s="612" t="s">
        <v>334</v>
      </c>
      <c r="D20" s="627"/>
      <c r="E20" s="613"/>
      <c r="F20" s="604">
        <f>'Qty estimate'!S21</f>
        <v>857</v>
      </c>
      <c r="G20" s="605"/>
      <c r="H20" s="385">
        <v>0.2</v>
      </c>
      <c r="I20" s="333">
        <f>F20*H20</f>
        <v>171.4</v>
      </c>
      <c r="J20" s="323"/>
      <c r="K20" s="322"/>
      <c r="L20" s="326"/>
      <c r="M20" s="326"/>
      <c r="N20" s="322"/>
      <c r="O20" s="318"/>
    </row>
    <row r="21" spans="1:15">
      <c r="A21" s="328"/>
      <c r="B21" s="334"/>
      <c r="C21" s="612" t="s">
        <v>344</v>
      </c>
      <c r="D21" s="627"/>
      <c r="E21" s="613"/>
      <c r="F21" s="403"/>
      <c r="G21" s="403"/>
      <c r="H21" s="403"/>
      <c r="I21" s="329">
        <f>+'Design Nala Bund Drg &amp; Summary'!D37</f>
        <v>120</v>
      </c>
      <c r="J21" s="324"/>
      <c r="K21" s="322"/>
      <c r="L21" s="326"/>
      <c r="M21" s="326"/>
      <c r="N21" s="326"/>
      <c r="O21" s="318"/>
    </row>
    <row r="22" spans="1:15">
      <c r="A22" s="328"/>
      <c r="B22" s="334"/>
      <c r="C22" s="612" t="s">
        <v>343</v>
      </c>
      <c r="D22" s="627"/>
      <c r="E22" s="613"/>
      <c r="F22" s="403"/>
      <c r="G22" s="403"/>
      <c r="H22" s="403"/>
      <c r="I22" s="329">
        <f>+'Design Nala Bund Drg &amp; Summary'!D53</f>
        <v>450.96186386971624</v>
      </c>
      <c r="J22" s="324"/>
      <c r="K22" s="322"/>
      <c r="L22" s="326"/>
      <c r="M22" s="326"/>
      <c r="N22" s="322"/>
      <c r="O22" s="318"/>
    </row>
    <row r="23" spans="1:15">
      <c r="A23" s="319"/>
      <c r="B23" s="319"/>
      <c r="C23" s="610"/>
      <c r="D23" s="656"/>
      <c r="E23" s="611"/>
      <c r="F23" s="330"/>
      <c r="G23" s="335"/>
      <c r="H23" s="391" t="s">
        <v>273</v>
      </c>
      <c r="I23" s="329">
        <f>SUM(I20:I22)</f>
        <v>742.36186386971622</v>
      </c>
      <c r="J23" s="324" t="s">
        <v>76</v>
      </c>
      <c r="K23" s="716">
        <v>131.80000000000001</v>
      </c>
      <c r="L23" s="326">
        <f>K23*I23</f>
        <v>97843.293658028604</v>
      </c>
      <c r="M23" s="717">
        <v>126.73</v>
      </c>
      <c r="N23" s="326">
        <f>M23*I23</f>
        <v>94079.519008209143</v>
      </c>
      <c r="O23" s="326">
        <f>L23-N23</f>
        <v>3763.774649819461</v>
      </c>
    </row>
    <row r="24" spans="1:15">
      <c r="A24" s="319">
        <v>5</v>
      </c>
      <c r="B24" s="319" t="s">
        <v>287</v>
      </c>
      <c r="C24" s="624" t="s">
        <v>80</v>
      </c>
      <c r="D24" s="625"/>
      <c r="E24" s="625"/>
      <c r="F24" s="625"/>
      <c r="G24" s="625"/>
      <c r="H24" s="625"/>
      <c r="I24" s="625"/>
      <c r="J24" s="625"/>
      <c r="K24" s="625"/>
      <c r="L24" s="625"/>
      <c r="M24" s="625"/>
      <c r="N24" s="625"/>
      <c r="O24" s="626"/>
    </row>
    <row r="25" spans="1:15">
      <c r="A25" s="319"/>
      <c r="B25" s="319"/>
      <c r="C25" s="612" t="s">
        <v>324</v>
      </c>
      <c r="D25" s="627"/>
      <c r="E25" s="613"/>
      <c r="F25" s="323"/>
      <c r="G25" s="337"/>
      <c r="H25" s="323"/>
      <c r="I25" s="329">
        <f>+I21</f>
        <v>120</v>
      </c>
      <c r="J25" s="324" t="s">
        <v>81</v>
      </c>
      <c r="K25" s="323"/>
      <c r="L25" s="326"/>
      <c r="M25" s="326"/>
      <c r="N25" s="326"/>
      <c r="O25" s="318"/>
    </row>
    <row r="26" spans="1:15">
      <c r="A26" s="319"/>
      <c r="B26" s="319"/>
      <c r="C26" s="612" t="s">
        <v>325</v>
      </c>
      <c r="D26" s="627"/>
      <c r="E26" s="613"/>
      <c r="F26" s="323"/>
      <c r="G26" s="337"/>
      <c r="H26" s="323"/>
      <c r="I26" s="329">
        <f>+'Design Nala Bund Drg &amp; Summary'!D43</f>
        <v>298.8</v>
      </c>
      <c r="J26" s="324" t="s">
        <v>81</v>
      </c>
      <c r="K26" s="323"/>
      <c r="L26" s="326"/>
      <c r="M26" s="326"/>
      <c r="N26" s="326"/>
      <c r="O26" s="318"/>
    </row>
    <row r="27" spans="1:15">
      <c r="A27" s="319"/>
      <c r="B27" s="319"/>
      <c r="C27" s="612"/>
      <c r="D27" s="627"/>
      <c r="E27" s="613"/>
      <c r="F27" s="323"/>
      <c r="G27" s="337"/>
      <c r="H27" s="391" t="s">
        <v>273</v>
      </c>
      <c r="I27" s="329">
        <f>SUM(I25:I26)</f>
        <v>418.8</v>
      </c>
      <c r="J27" s="324" t="s">
        <v>81</v>
      </c>
      <c r="K27" s="716">
        <v>345.84</v>
      </c>
      <c r="L27" s="326">
        <f>I27*K27</f>
        <v>144837.79199999999</v>
      </c>
      <c r="M27" s="718">
        <v>304</v>
      </c>
      <c r="N27" s="326">
        <f>M27*I27</f>
        <v>127315.2</v>
      </c>
      <c r="O27" s="326">
        <f>L27-N27</f>
        <v>17522.59199999999</v>
      </c>
    </row>
    <row r="28" spans="1:15" ht="44.25" customHeight="1">
      <c r="A28" s="339">
        <v>6</v>
      </c>
      <c r="B28" s="339" t="s">
        <v>290</v>
      </c>
      <c r="C28" s="621" t="s">
        <v>205</v>
      </c>
      <c r="D28" s="622"/>
      <c r="E28" s="622"/>
      <c r="F28" s="622"/>
      <c r="G28" s="622"/>
      <c r="H28" s="622"/>
      <c r="I28" s="622"/>
      <c r="J28" s="622"/>
      <c r="K28" s="622"/>
      <c r="L28" s="622"/>
      <c r="M28" s="622"/>
      <c r="N28" s="622"/>
      <c r="O28" s="623"/>
    </row>
    <row r="29" spans="1:15" ht="25.5" customHeight="1">
      <c r="A29" s="319"/>
      <c r="B29" s="319"/>
      <c r="C29" s="641" t="s">
        <v>429</v>
      </c>
      <c r="D29" s="642"/>
      <c r="E29" s="642"/>
      <c r="F29" s="642"/>
      <c r="G29" s="642"/>
      <c r="H29" s="336"/>
      <c r="I29" s="329">
        <f>'Qty estimate'!G21</f>
        <v>2140.0000000000005</v>
      </c>
      <c r="K29" s="42"/>
      <c r="L29" s="42"/>
      <c r="N29" s="326"/>
      <c r="O29" s="326">
        <f>L31-N29</f>
        <v>242670.16000000009</v>
      </c>
    </row>
    <row r="30" spans="1:15">
      <c r="A30" s="319"/>
      <c r="B30" s="319"/>
      <c r="C30" s="641" t="s">
        <v>323</v>
      </c>
      <c r="D30" s="642"/>
      <c r="E30" s="657"/>
      <c r="F30" s="435"/>
      <c r="G30" s="435"/>
      <c r="H30" s="312"/>
      <c r="I30" s="329">
        <f>+'Qty estimate'!J21</f>
        <v>298.8</v>
      </c>
      <c r="J30" s="324"/>
      <c r="K30" s="324"/>
      <c r="L30" s="326"/>
      <c r="M30" s="327"/>
      <c r="N30" s="326"/>
      <c r="O30" s="326"/>
    </row>
    <row r="31" spans="1:15" ht="25.5" customHeight="1">
      <c r="A31" s="319"/>
      <c r="B31" s="319"/>
      <c r="C31" s="641" t="s">
        <v>274</v>
      </c>
      <c r="D31" s="642"/>
      <c r="E31" s="657"/>
      <c r="F31" s="436"/>
      <c r="G31" s="436"/>
      <c r="H31" s="391" t="s">
        <v>273</v>
      </c>
      <c r="I31" s="377">
        <f>I29-I30</f>
        <v>1841.2000000000005</v>
      </c>
      <c r="J31" s="324" t="s">
        <v>76</v>
      </c>
      <c r="K31" s="716">
        <v>131.80000000000001</v>
      </c>
      <c r="L31" s="326">
        <f>K31*I31</f>
        <v>242670.16000000009</v>
      </c>
      <c r="M31" s="717">
        <v>126.73</v>
      </c>
      <c r="N31" s="326">
        <f>M31*I31</f>
        <v>233335.27600000007</v>
      </c>
      <c r="O31" s="326">
        <f>L31-N31</f>
        <v>9334.88400000002</v>
      </c>
    </row>
    <row r="32" spans="1:15" ht="15.75" customHeight="1">
      <c r="A32" s="319">
        <v>7</v>
      </c>
      <c r="B32" s="319" t="s">
        <v>288</v>
      </c>
      <c r="C32" s="621" t="s">
        <v>272</v>
      </c>
      <c r="D32" s="622"/>
      <c r="E32" s="622"/>
      <c r="F32" s="622"/>
      <c r="G32" s="622"/>
      <c r="H32" s="622"/>
      <c r="I32" s="622"/>
      <c r="J32" s="622"/>
      <c r="K32" s="623"/>
      <c r="L32" s="338"/>
      <c r="M32" s="338"/>
      <c r="N32" s="338"/>
      <c r="O32" s="338"/>
    </row>
    <row r="33" spans="1:20">
      <c r="A33" s="319"/>
      <c r="B33" s="319"/>
      <c r="C33" s="339" t="s">
        <v>204</v>
      </c>
      <c r="D33" s="339"/>
      <c r="E33" s="339"/>
      <c r="F33" s="323"/>
      <c r="G33" s="337"/>
      <c r="H33" s="323"/>
      <c r="I33" s="329">
        <f>I29/2</f>
        <v>1070.0000000000002</v>
      </c>
      <c r="J33" s="324" t="s">
        <v>81</v>
      </c>
      <c r="K33" s="716">
        <v>28.5</v>
      </c>
      <c r="L33" s="326">
        <f>I33*K33</f>
        <v>30495.000000000007</v>
      </c>
      <c r="M33" s="718">
        <f>K33</f>
        <v>28.5</v>
      </c>
      <c r="N33" s="326">
        <f>M33*I33</f>
        <v>30495.000000000007</v>
      </c>
      <c r="O33" s="326">
        <f>L33-N33</f>
        <v>0</v>
      </c>
    </row>
    <row r="34" spans="1:20">
      <c r="A34" s="319">
        <v>8</v>
      </c>
      <c r="B34" s="319" t="s">
        <v>289</v>
      </c>
      <c r="C34" s="621" t="s">
        <v>372</v>
      </c>
      <c r="D34" s="622"/>
      <c r="E34" s="622"/>
      <c r="F34" s="622"/>
      <c r="G34" s="622"/>
      <c r="H34" s="622"/>
      <c r="I34" s="340"/>
      <c r="J34" s="340"/>
      <c r="K34" s="340"/>
      <c r="L34" s="340"/>
      <c r="M34" s="341"/>
      <c r="N34" s="340"/>
      <c r="O34" s="342"/>
    </row>
    <row r="35" spans="1:20" ht="18" customHeight="1">
      <c r="A35" s="319"/>
      <c r="B35" s="319"/>
      <c r="C35" s="608" t="s">
        <v>356</v>
      </c>
      <c r="D35" s="614"/>
      <c r="E35" s="609"/>
      <c r="F35" s="323"/>
      <c r="G35" s="337"/>
      <c r="H35" s="323"/>
      <c r="I35" s="329">
        <f>I29*0.3</f>
        <v>642.00000000000011</v>
      </c>
      <c r="J35" s="324" t="s">
        <v>81</v>
      </c>
      <c r="K35" s="716">
        <v>13.43</v>
      </c>
      <c r="L35" s="326">
        <f>I35*K35</f>
        <v>8622.0600000000013</v>
      </c>
      <c r="M35" s="717">
        <f>K35</f>
        <v>13.43</v>
      </c>
      <c r="N35" s="326">
        <f>M35*I35</f>
        <v>8622.0600000000013</v>
      </c>
      <c r="O35" s="326">
        <f>L35-N35</f>
        <v>0</v>
      </c>
      <c r="R35" s="29"/>
      <c r="S35" s="29"/>
      <c r="T35" s="29"/>
    </row>
    <row r="36" spans="1:20" ht="15" customHeight="1">
      <c r="A36" s="319"/>
      <c r="B36" s="319"/>
      <c r="C36" s="608" t="s">
        <v>357</v>
      </c>
      <c r="D36" s="614"/>
      <c r="E36" s="609"/>
      <c r="F36" s="323"/>
      <c r="G36" s="337"/>
      <c r="H36" s="323"/>
      <c r="I36" s="378">
        <f>I29*0.2</f>
        <v>428.00000000000011</v>
      </c>
      <c r="J36" s="324" t="s">
        <v>81</v>
      </c>
      <c r="K36" s="719">
        <f>K35*2</f>
        <v>26.86</v>
      </c>
      <c r="L36" s="326">
        <f>I36*K36</f>
        <v>11496.080000000004</v>
      </c>
      <c r="M36" s="717">
        <f t="shared" ref="M36:M37" si="0">K36</f>
        <v>26.86</v>
      </c>
      <c r="N36" s="326">
        <f>M36*I36</f>
        <v>11496.080000000004</v>
      </c>
      <c r="O36" s="326">
        <f t="shared" ref="O36:O37" si="1">L36-N36</f>
        <v>0</v>
      </c>
    </row>
    <row r="37" spans="1:20" ht="13.5" customHeight="1">
      <c r="A37" s="319"/>
      <c r="B37" s="319"/>
      <c r="C37" s="608" t="s">
        <v>358</v>
      </c>
      <c r="D37" s="614"/>
      <c r="E37" s="609"/>
      <c r="F37" s="323"/>
      <c r="G37" s="337"/>
      <c r="H37" s="333"/>
      <c r="I37" s="378">
        <f>I29*0.05</f>
        <v>107.00000000000003</v>
      </c>
      <c r="J37" s="324" t="s">
        <v>81</v>
      </c>
      <c r="K37" s="719">
        <f>K35*3</f>
        <v>40.29</v>
      </c>
      <c r="L37" s="326">
        <f>I37*K37</f>
        <v>4311.0300000000007</v>
      </c>
      <c r="M37" s="717">
        <f t="shared" si="0"/>
        <v>40.29</v>
      </c>
      <c r="N37" s="326">
        <f>M37*I37</f>
        <v>4311.0300000000007</v>
      </c>
      <c r="O37" s="326">
        <f t="shared" si="1"/>
        <v>0</v>
      </c>
    </row>
    <row r="38" spans="1:20" ht="23.25" customHeight="1">
      <c r="A38" s="319">
        <v>9</v>
      </c>
      <c r="B38" s="319" t="s">
        <v>286</v>
      </c>
      <c r="C38" s="621" t="s">
        <v>79</v>
      </c>
      <c r="D38" s="622"/>
      <c r="E38" s="622"/>
      <c r="F38" s="622"/>
      <c r="G38" s="622"/>
      <c r="H38" s="622"/>
      <c r="I38" s="622"/>
      <c r="J38" s="622"/>
      <c r="K38" s="622"/>
      <c r="L38" s="622"/>
      <c r="M38" s="622"/>
      <c r="N38" s="622"/>
      <c r="O38" s="623"/>
    </row>
    <row r="39" spans="1:20" ht="15.75" customHeight="1">
      <c r="A39" s="343"/>
      <c r="B39" s="343"/>
      <c r="C39" s="619" t="s">
        <v>338</v>
      </c>
      <c r="D39" s="620"/>
      <c r="E39" s="433">
        <v>1</v>
      </c>
      <c r="F39" s="606">
        <f>'Qty estimate'!M21</f>
        <v>320.36285495277059</v>
      </c>
      <c r="G39" s="607"/>
      <c r="H39" s="343">
        <v>0.5</v>
      </c>
      <c r="I39" s="382">
        <f>F39*H39</f>
        <v>160.18142747638529</v>
      </c>
      <c r="J39" s="313"/>
      <c r="K39" s="313"/>
      <c r="L39" s="313"/>
      <c r="M39" s="313"/>
      <c r="N39" s="313"/>
      <c r="O39" s="313"/>
    </row>
    <row r="40" spans="1:20" ht="15.75" customHeight="1">
      <c r="A40" s="343"/>
      <c r="B40" s="343"/>
      <c r="C40" s="618" t="s">
        <v>337</v>
      </c>
      <c r="D40" s="618"/>
      <c r="E40" s="433">
        <v>1</v>
      </c>
      <c r="F40" s="606">
        <f>'Qty estimate'!V21</f>
        <v>329.59641988346903</v>
      </c>
      <c r="G40" s="607"/>
      <c r="H40" s="383">
        <v>0.5</v>
      </c>
      <c r="I40" s="382">
        <f>F40*H40</f>
        <v>164.79820994173451</v>
      </c>
      <c r="J40" s="381"/>
      <c r="K40" s="379"/>
      <c r="L40" s="340"/>
      <c r="M40" s="383"/>
      <c r="N40" s="340"/>
      <c r="O40" s="342"/>
    </row>
    <row r="41" spans="1:20" ht="15.75" customHeight="1">
      <c r="A41" s="343"/>
      <c r="B41" s="343"/>
      <c r="C41" s="610"/>
      <c r="D41" s="611"/>
      <c r="E41" s="351"/>
      <c r="F41" s="434"/>
      <c r="G41" s="432"/>
      <c r="H41" s="351" t="s">
        <v>273</v>
      </c>
      <c r="I41" s="384">
        <f>SUM(I39:I40)</f>
        <v>324.97963741811981</v>
      </c>
      <c r="J41" s="324" t="s">
        <v>81</v>
      </c>
      <c r="K41" s="716">
        <v>131.80000000000001</v>
      </c>
      <c r="L41" s="326">
        <f>I41*K41</f>
        <v>42832.316211708196</v>
      </c>
      <c r="M41" s="717">
        <v>126.73</v>
      </c>
      <c r="N41" s="326">
        <f>I41*M41</f>
        <v>41184.669449998328</v>
      </c>
      <c r="O41" s="326">
        <f>L41-N41</f>
        <v>1647.6467617098679</v>
      </c>
    </row>
    <row r="42" spans="1:20" ht="31.5" customHeight="1">
      <c r="A42" s="319">
        <v>10</v>
      </c>
      <c r="B42" s="437" t="s">
        <v>362</v>
      </c>
      <c r="C42" s="643" t="s">
        <v>363</v>
      </c>
      <c r="D42" s="644"/>
      <c r="E42" s="644"/>
      <c r="F42" s="644"/>
      <c r="G42" s="622"/>
      <c r="H42" s="622"/>
      <c r="I42" s="622"/>
      <c r="J42" s="622"/>
      <c r="K42" s="622"/>
      <c r="L42" s="622"/>
      <c r="M42" s="622"/>
      <c r="N42" s="622"/>
      <c r="O42" s="623"/>
    </row>
    <row r="43" spans="1:20" ht="17.25" customHeight="1">
      <c r="A43" s="319"/>
      <c r="B43" s="319"/>
      <c r="C43" s="608" t="s">
        <v>297</v>
      </c>
      <c r="D43" s="609"/>
      <c r="E43" s="322"/>
      <c r="F43" s="323"/>
      <c r="G43" s="337"/>
      <c r="H43" s="323"/>
      <c r="I43" s="329">
        <f>+'Design Nala Bund Drg &amp; Summary'!D52</f>
        <v>52.475000000000001</v>
      </c>
      <c r="J43" s="324"/>
      <c r="K43" s="345"/>
      <c r="L43" s="326"/>
      <c r="M43" s="42"/>
      <c r="N43" s="326"/>
      <c r="O43" s="346"/>
      <c r="Q43" s="348"/>
    </row>
    <row r="44" spans="1:20" ht="30" customHeight="1">
      <c r="A44" s="319"/>
      <c r="C44" s="612" t="s">
        <v>359</v>
      </c>
      <c r="D44" s="613"/>
      <c r="E44" s="343"/>
      <c r="F44" s="317">
        <f>'Qty estimate'!A14</f>
        <v>36</v>
      </c>
      <c r="G44" s="351">
        <v>0.6</v>
      </c>
      <c r="H44" s="351">
        <v>0.6</v>
      </c>
      <c r="I44" s="329">
        <f>H44*G44*F44</f>
        <v>12.959999999999999</v>
      </c>
      <c r="J44" s="324" t="s">
        <v>81</v>
      </c>
      <c r="Q44" s="348"/>
    </row>
    <row r="45" spans="1:20" ht="18.75" customHeight="1">
      <c r="A45" s="319"/>
      <c r="B45" s="319"/>
      <c r="C45" s="349"/>
      <c r="D45" s="350"/>
      <c r="E45" s="343"/>
      <c r="F45" s="343"/>
      <c r="G45" s="343"/>
      <c r="H45" s="351" t="s">
        <v>273</v>
      </c>
      <c r="I45" s="329">
        <f>SUM(I43:I44)</f>
        <v>65.435000000000002</v>
      </c>
      <c r="J45" s="324" t="s">
        <v>81</v>
      </c>
      <c r="K45" s="716">
        <v>567.84</v>
      </c>
      <c r="L45" s="340">
        <f>I45*K45</f>
        <v>37156.610400000005</v>
      </c>
      <c r="M45" s="717">
        <v>262.2</v>
      </c>
      <c r="N45" s="326">
        <f>M45*I45</f>
        <v>17157.057000000001</v>
      </c>
      <c r="O45" s="326">
        <f>L45-N45</f>
        <v>19999.553400000004</v>
      </c>
      <c r="Q45" s="348"/>
    </row>
    <row r="46" spans="1:20">
      <c r="A46" s="319">
        <v>11</v>
      </c>
      <c r="B46" s="319" t="s">
        <v>291</v>
      </c>
      <c r="C46" s="621" t="s">
        <v>281</v>
      </c>
      <c r="D46" s="622"/>
      <c r="E46" s="622"/>
      <c r="F46" s="622"/>
      <c r="G46" s="622"/>
      <c r="H46" s="622"/>
      <c r="I46" s="622"/>
      <c r="J46" s="622"/>
      <c r="K46" s="622"/>
      <c r="L46" s="622"/>
      <c r="M46" s="622"/>
      <c r="N46" s="622"/>
      <c r="O46" s="623"/>
    </row>
    <row r="47" spans="1:20" ht="25.5" customHeight="1">
      <c r="A47" s="319"/>
      <c r="B47" s="352"/>
      <c r="C47" s="608" t="s">
        <v>378</v>
      </c>
      <c r="D47" s="614"/>
      <c r="E47" s="609"/>
      <c r="F47" s="323"/>
      <c r="G47" s="8"/>
      <c r="H47" s="323"/>
      <c r="I47" s="323">
        <f>+'Qty estimate'!M21+'Design Nala Bund Drg &amp; Summary'!D55</f>
        <v>568.26363156515231</v>
      </c>
      <c r="J47" s="324" t="s">
        <v>72</v>
      </c>
      <c r="K47" s="716">
        <v>253.24</v>
      </c>
      <c r="L47" s="326">
        <f>K47*I47</f>
        <v>143907.08205755916</v>
      </c>
      <c r="M47" s="717">
        <v>60.8</v>
      </c>
      <c r="N47" s="326">
        <f>M47*I47</f>
        <v>34550.428799161258</v>
      </c>
      <c r="O47" s="326">
        <f>L47-N47</f>
        <v>109356.65325839791</v>
      </c>
    </row>
    <row r="48" spans="1:20" ht="17.25" customHeight="1">
      <c r="A48" s="387">
        <v>12</v>
      </c>
      <c r="B48" s="353" t="s">
        <v>292</v>
      </c>
      <c r="C48" s="638" t="s">
        <v>373</v>
      </c>
      <c r="D48" s="639"/>
      <c r="E48" s="640"/>
      <c r="F48" s="438">
        <f>I47</f>
        <v>568.26363156515231</v>
      </c>
      <c r="G48" s="438"/>
      <c r="H48" s="323">
        <v>0.15</v>
      </c>
      <c r="I48" s="439">
        <f>H48*F48</f>
        <v>85.239544734772849</v>
      </c>
      <c r="J48" s="324" t="s">
        <v>81</v>
      </c>
      <c r="K48" s="717">
        <v>239.78</v>
      </c>
      <c r="L48" s="326">
        <f>K48*I48</f>
        <v>20438.738036503833</v>
      </c>
      <c r="M48" s="717">
        <v>39.9</v>
      </c>
      <c r="N48" s="326">
        <f>M48*I48</f>
        <v>3401.0578349174366</v>
      </c>
      <c r="O48" s="326">
        <f>L48-N48</f>
        <v>17037.680201586398</v>
      </c>
    </row>
    <row r="49" spans="1:17" ht="24" customHeight="1">
      <c r="A49" s="319">
        <v>13</v>
      </c>
      <c r="B49" s="343" t="s">
        <v>345</v>
      </c>
      <c r="C49" s="621" t="s">
        <v>374</v>
      </c>
      <c r="D49" s="622"/>
      <c r="E49" s="622"/>
      <c r="F49" s="622"/>
      <c r="G49" s="622"/>
      <c r="H49" s="622"/>
      <c r="I49" s="622"/>
      <c r="J49" s="622"/>
      <c r="K49" s="622"/>
      <c r="L49" s="622"/>
      <c r="M49" s="622"/>
      <c r="N49" s="622"/>
      <c r="O49" s="623"/>
    </row>
    <row r="50" spans="1:17" ht="43.5" customHeight="1">
      <c r="A50" s="319"/>
      <c r="B50" s="343" t="s">
        <v>349</v>
      </c>
      <c r="C50" s="632" t="s">
        <v>379</v>
      </c>
      <c r="D50" s="633"/>
      <c r="E50" s="633"/>
      <c r="F50" s="634"/>
      <c r="G50" s="323"/>
      <c r="H50" s="323"/>
      <c r="I50" s="323">
        <f>I47*0.22+I45</f>
        <v>190.4529989443335</v>
      </c>
      <c r="J50" s="324" t="s">
        <v>81</v>
      </c>
      <c r="K50" s="716">
        <f>161.91*1.15</f>
        <v>186.19649999999999</v>
      </c>
      <c r="L50" s="326">
        <f>K50*I50</f>
        <v>35461.681817938588</v>
      </c>
      <c r="M50" s="717">
        <f>1.15*38.27</f>
        <v>44.0105</v>
      </c>
      <c r="N50" s="326">
        <f>I50*M50</f>
        <v>8381.9317100395892</v>
      </c>
      <c r="O50" s="326">
        <f>L50-N50</f>
        <v>27079.750107898999</v>
      </c>
    </row>
    <row r="51" spans="1:17" ht="18" customHeight="1">
      <c r="A51" s="387"/>
      <c r="B51" s="343" t="s">
        <v>361</v>
      </c>
      <c r="C51" s="615" t="s">
        <v>360</v>
      </c>
      <c r="D51" s="616"/>
      <c r="E51" s="616"/>
      <c r="F51" s="617"/>
      <c r="G51" s="323"/>
      <c r="H51" s="323"/>
      <c r="I51" s="323">
        <f>I48</f>
        <v>85.239544734772849</v>
      </c>
      <c r="J51" s="324" t="s">
        <v>81</v>
      </c>
      <c r="K51" s="716">
        <v>161.91</v>
      </c>
      <c r="L51" s="326">
        <f>K51*I51</f>
        <v>13801.134688007072</v>
      </c>
      <c r="M51" s="717">
        <v>38.270000000000003</v>
      </c>
      <c r="N51" s="326">
        <f t="shared" ref="N51:N54" si="2">I51*M51</f>
        <v>3262.1173769997572</v>
      </c>
      <c r="O51" s="326">
        <f>L51-N51</f>
        <v>10539.017311007316</v>
      </c>
    </row>
    <row r="52" spans="1:17" ht="15.75" customHeight="1">
      <c r="A52" s="319"/>
      <c r="B52" s="343" t="s">
        <v>348</v>
      </c>
      <c r="C52" s="635" t="s">
        <v>380</v>
      </c>
      <c r="D52" s="636"/>
      <c r="E52" s="636"/>
      <c r="F52" s="637"/>
      <c r="G52" s="337"/>
      <c r="H52" s="323"/>
      <c r="I52" s="323">
        <f>I26+I25</f>
        <v>418.8</v>
      </c>
      <c r="J52" s="324" t="s">
        <v>81</v>
      </c>
      <c r="K52" s="716">
        <f>161.91*0.9</f>
        <v>145.71899999999999</v>
      </c>
      <c r="L52" s="326">
        <f>K52*I52</f>
        <v>61027.117200000001</v>
      </c>
      <c r="M52" s="717">
        <f>0.9*38.27</f>
        <v>34.443000000000005</v>
      </c>
      <c r="N52" s="326">
        <f t="shared" si="2"/>
        <v>14424.728400000002</v>
      </c>
      <c r="O52" s="326">
        <f>L52-N52</f>
        <v>46602.388800000001</v>
      </c>
    </row>
    <row r="53" spans="1:17" ht="15.75" customHeight="1">
      <c r="A53" s="319"/>
      <c r="B53" s="387" t="s">
        <v>346</v>
      </c>
      <c r="C53" s="615" t="s">
        <v>382</v>
      </c>
      <c r="D53" s="616"/>
      <c r="E53" s="616"/>
      <c r="F53" s="617"/>
      <c r="G53" s="337"/>
      <c r="H53" s="323"/>
      <c r="I53" s="323">
        <f>I29</f>
        <v>2140.0000000000005</v>
      </c>
      <c r="J53" s="324" t="s">
        <v>81</v>
      </c>
      <c r="K53" s="720">
        <f>1.9*9</f>
        <v>17.099999999999998</v>
      </c>
      <c r="L53" s="326">
        <f>I53*K53</f>
        <v>36594</v>
      </c>
      <c r="M53" s="720">
        <f>1.9*9</f>
        <v>17.099999999999998</v>
      </c>
      <c r="N53" s="326">
        <f t="shared" si="2"/>
        <v>36594</v>
      </c>
      <c r="O53" s="326">
        <f>L53-N53</f>
        <v>0</v>
      </c>
    </row>
    <row r="54" spans="1:17" ht="15.75" customHeight="1">
      <c r="A54" s="387"/>
      <c r="B54" s="387" t="s">
        <v>347</v>
      </c>
      <c r="C54" s="615" t="s">
        <v>381</v>
      </c>
      <c r="D54" s="616"/>
      <c r="E54" s="616"/>
      <c r="F54" s="617"/>
      <c r="G54" s="397"/>
      <c r="H54" s="348"/>
      <c r="I54" s="398">
        <f>I25</f>
        <v>120</v>
      </c>
      <c r="J54" s="324" t="s">
        <v>81</v>
      </c>
      <c r="K54" s="716">
        <f>2.66*9</f>
        <v>23.94</v>
      </c>
      <c r="L54" s="326">
        <f>I54*K54</f>
        <v>2872.8</v>
      </c>
      <c r="M54" s="716">
        <f>2.66*9</f>
        <v>23.94</v>
      </c>
      <c r="N54" s="326">
        <f t="shared" si="2"/>
        <v>2872.8</v>
      </c>
      <c r="O54" s="326">
        <f>L54-N54</f>
        <v>0</v>
      </c>
    </row>
    <row r="55" spans="1:17" s="355" customFormat="1" ht="25.5" customHeight="1">
      <c r="A55" s="353"/>
      <c r="B55" s="353"/>
      <c r="C55" s="393"/>
      <c r="D55" s="394"/>
      <c r="E55" s="394"/>
      <c r="F55" s="395"/>
      <c r="G55" s="396"/>
      <c r="H55" s="395"/>
      <c r="I55" s="392" t="s">
        <v>82</v>
      </c>
      <c r="J55" s="324"/>
      <c r="K55" s="354" t="s">
        <v>364</v>
      </c>
      <c r="L55" s="356">
        <f>L54+L53+L52+L51+L50+L48+L47+L45+L41+L37+L36+L35+L33+L31+L27+L23+L17+L15+L10</f>
        <v>961130.30320194806</v>
      </c>
      <c r="M55" s="356"/>
      <c r="N55" s="356">
        <f>N54+N53+N52+N51+N50+N48+N47+N45+N41+N37+N36+N35+N33+N31+N27+N23+N17+N15+N10</f>
        <v>697225.74504024046</v>
      </c>
      <c r="O55" s="356">
        <f>O54+O53+O52+O51+O50+O48+O47+O45+O41+O37+O36+O35+O33+O31+O27+O23+O17+O15+O10</f>
        <v>263904.55816170754</v>
      </c>
    </row>
    <row r="56" spans="1:17" ht="27.75" customHeight="1">
      <c r="A56" s="319">
        <v>14</v>
      </c>
      <c r="B56" s="319"/>
      <c r="C56" s="630" t="s">
        <v>385</v>
      </c>
      <c r="D56" s="630"/>
      <c r="E56" s="630"/>
      <c r="F56" s="630"/>
      <c r="G56" s="630"/>
      <c r="H56" s="630"/>
      <c r="I56" s="9">
        <v>73</v>
      </c>
      <c r="J56" s="324" t="s">
        <v>84</v>
      </c>
      <c r="K56" s="716">
        <v>197</v>
      </c>
      <c r="L56" s="326">
        <f>I56*K56</f>
        <v>14381</v>
      </c>
      <c r="M56" s="326"/>
      <c r="N56" s="322"/>
      <c r="O56" s="326">
        <f t="shared" ref="O56:O61" si="3">L56-N56</f>
        <v>14381</v>
      </c>
    </row>
    <row r="57" spans="1:17" ht="29.25" customHeight="1">
      <c r="A57" s="319">
        <v>15</v>
      </c>
      <c r="B57" s="319"/>
      <c r="C57" s="630" t="s">
        <v>375</v>
      </c>
      <c r="D57" s="630"/>
      <c r="E57" s="630"/>
      <c r="F57" s="630"/>
      <c r="G57" s="630"/>
      <c r="H57" s="630"/>
      <c r="I57" s="9">
        <v>73</v>
      </c>
      <c r="J57" s="324" t="s">
        <v>84</v>
      </c>
      <c r="K57" s="716">
        <v>190</v>
      </c>
      <c r="L57" s="326">
        <f>K57*I57</f>
        <v>13870</v>
      </c>
      <c r="M57" s="326"/>
      <c r="N57" s="326">
        <f>L57</f>
        <v>13870</v>
      </c>
      <c r="O57" s="326">
        <f t="shared" si="3"/>
        <v>0</v>
      </c>
    </row>
    <row r="58" spans="1:17" ht="13.5" customHeight="1">
      <c r="A58" s="319"/>
      <c r="B58" s="319"/>
      <c r="C58" s="599" t="s">
        <v>299</v>
      </c>
      <c r="D58" s="600"/>
      <c r="E58" s="600"/>
      <c r="F58" s="600"/>
      <c r="G58" s="600"/>
      <c r="H58" s="601"/>
      <c r="I58" s="9"/>
      <c r="J58" s="324"/>
      <c r="K58" s="325"/>
      <c r="L58" s="326">
        <v>10000</v>
      </c>
      <c r="M58" s="326"/>
      <c r="N58" s="326">
        <v>10000</v>
      </c>
      <c r="O58" s="326">
        <v>0</v>
      </c>
    </row>
    <row r="59" spans="1:17">
      <c r="A59" s="319">
        <v>16</v>
      </c>
      <c r="B59" s="319"/>
      <c r="C59" s="631" t="s">
        <v>86</v>
      </c>
      <c r="D59" s="631"/>
      <c r="E59" s="631"/>
      <c r="F59" s="631"/>
      <c r="G59" s="631"/>
      <c r="H59" s="631"/>
      <c r="I59" s="429" t="s">
        <v>87</v>
      </c>
      <c r="J59" s="357"/>
      <c r="K59" s="358"/>
      <c r="L59" s="359">
        <v>3000</v>
      </c>
      <c r="M59" s="360"/>
      <c r="N59" s="322"/>
      <c r="O59" s="326">
        <f t="shared" si="3"/>
        <v>3000</v>
      </c>
    </row>
    <row r="60" spans="1:17">
      <c r="A60" s="319">
        <v>17</v>
      </c>
      <c r="B60" s="319"/>
      <c r="C60" s="631" t="s">
        <v>298</v>
      </c>
      <c r="D60" s="631"/>
      <c r="E60" s="631"/>
      <c r="F60" s="631"/>
      <c r="G60" s="631"/>
      <c r="H60" s="631"/>
      <c r="I60" s="430" t="s">
        <v>87</v>
      </c>
      <c r="J60" s="361"/>
      <c r="K60" s="362"/>
      <c r="L60" s="363">
        <v>5000</v>
      </c>
      <c r="M60" s="326"/>
      <c r="N60" s="322"/>
      <c r="O60" s="326">
        <f t="shared" si="3"/>
        <v>5000</v>
      </c>
    </row>
    <row r="61" spans="1:17" ht="15.75" customHeight="1">
      <c r="A61" s="319">
        <v>18</v>
      </c>
      <c r="B61" s="364"/>
      <c r="C61" s="599" t="s">
        <v>383</v>
      </c>
      <c r="D61" s="649"/>
      <c r="E61" s="649"/>
      <c r="F61" s="649"/>
      <c r="G61" s="649"/>
      <c r="H61" s="650"/>
      <c r="I61" s="365">
        <v>0.05</v>
      </c>
      <c r="J61" s="366"/>
      <c r="K61" s="367"/>
      <c r="L61" s="368">
        <f>(L55)*I61</f>
        <v>48056.515160097406</v>
      </c>
      <c r="M61" s="368"/>
      <c r="N61" s="369"/>
      <c r="O61" s="326">
        <f t="shared" si="3"/>
        <v>48056.515160097406</v>
      </c>
      <c r="P61" s="29"/>
      <c r="Q61" s="29"/>
    </row>
    <row r="62" spans="1:17">
      <c r="A62" s="370"/>
      <c r="B62" s="370"/>
      <c r="C62" s="316"/>
      <c r="D62" s="371"/>
      <c r="E62" s="371"/>
      <c r="F62" s="323"/>
      <c r="G62" s="372"/>
      <c r="H62" s="426"/>
      <c r="I62" s="646" t="s">
        <v>89</v>
      </c>
      <c r="J62" s="646"/>
      <c r="K62" s="646"/>
      <c r="L62" s="373">
        <f>L61+L60+L59+L58+L57+L56+L55</f>
        <v>1055437.8183620456</v>
      </c>
      <c r="M62" s="373"/>
      <c r="N62" s="373">
        <f t="shared" ref="N62" si="4">N61+N60+N59+N58+N57+N56+N55</f>
        <v>721095.74504024046</v>
      </c>
      <c r="O62" s="373">
        <f>O61+O60+O59+O58+O57+O56+O55</f>
        <v>334342.07332180493</v>
      </c>
      <c r="P62" s="29"/>
      <c r="Q62" s="29"/>
    </row>
    <row r="63" spans="1:17" ht="6" customHeight="1">
      <c r="A63" s="11"/>
      <c r="B63" s="11"/>
      <c r="C63" s="12"/>
      <c r="D63" s="13"/>
      <c r="E63" s="13"/>
      <c r="F63" s="14"/>
      <c r="G63" s="15"/>
      <c r="H63" s="427"/>
      <c r="I63" s="427"/>
      <c r="J63" s="428"/>
      <c r="K63" s="427"/>
      <c r="L63" s="16"/>
      <c r="M63" s="16"/>
      <c r="N63" s="374"/>
      <c r="O63" s="374"/>
      <c r="P63" s="29"/>
      <c r="Q63" s="29"/>
    </row>
    <row r="64" spans="1:17">
      <c r="A64" s="11"/>
      <c r="B64" s="11"/>
      <c r="C64" s="647"/>
      <c r="D64" s="647"/>
      <c r="E64" s="647"/>
      <c r="F64" s="14"/>
      <c r="G64" s="416" t="s">
        <v>90</v>
      </c>
      <c r="H64" s="648" t="s">
        <v>91</v>
      </c>
      <c r="I64" s="648"/>
      <c r="J64" s="648" t="s">
        <v>92</v>
      </c>
      <c r="K64" s="648"/>
      <c r="L64" s="16"/>
      <c r="M64" s="16"/>
      <c r="N64" s="17"/>
      <c r="O64" s="374"/>
      <c r="P64" s="29"/>
    </row>
    <row r="65" spans="1:22">
      <c r="A65" s="11"/>
      <c r="B65" s="11"/>
      <c r="C65" s="18"/>
      <c r="D65" s="18"/>
      <c r="E65" s="18"/>
      <c r="F65" s="19"/>
      <c r="G65" s="416" t="s">
        <v>93</v>
      </c>
      <c r="H65" s="20">
        <f>N62</f>
        <v>721095.74504024046</v>
      </c>
      <c r="I65" s="21"/>
      <c r="J65" s="22">
        <f>H65/H67%</f>
        <v>68.321954405549249</v>
      </c>
      <c r="K65" s="23" t="s">
        <v>94</v>
      </c>
      <c r="L65" s="16"/>
      <c r="M65" s="16"/>
      <c r="N65" s="17"/>
      <c r="O65" s="374"/>
      <c r="P65" s="29"/>
    </row>
    <row r="66" spans="1:22">
      <c r="A66" s="11"/>
      <c r="B66" s="11"/>
      <c r="C66" s="11"/>
      <c r="D66" s="11"/>
      <c r="E66" s="11"/>
      <c r="F66" s="19"/>
      <c r="G66" s="416" t="s">
        <v>95</v>
      </c>
      <c r="H66" s="20">
        <f>O62</f>
        <v>334342.07332180493</v>
      </c>
      <c r="I66" s="21"/>
      <c r="J66" s="22">
        <f>H66/H67%</f>
        <v>31.678045594450733</v>
      </c>
      <c r="K66" s="23" t="s">
        <v>94</v>
      </c>
      <c r="L66" s="16"/>
      <c r="M66" s="16"/>
      <c r="N66" s="17"/>
      <c r="O66" s="374"/>
      <c r="P66" s="29"/>
      <c r="R66" s="29"/>
      <c r="S66" s="29"/>
      <c r="T66" s="29"/>
      <c r="U66" s="29"/>
      <c r="V66" s="29"/>
    </row>
    <row r="67" spans="1:22">
      <c r="A67" s="11"/>
      <c r="B67" s="11"/>
      <c r="C67" s="647"/>
      <c r="D67" s="647"/>
      <c r="E67" s="647"/>
      <c r="F67" s="24"/>
      <c r="G67" s="416" t="s">
        <v>82</v>
      </c>
      <c r="H67" s="20">
        <f>L62</f>
        <v>1055437.8183620456</v>
      </c>
      <c r="I67" s="21"/>
      <c r="J67" s="25">
        <v>100</v>
      </c>
      <c r="K67" s="23" t="s">
        <v>94</v>
      </c>
      <c r="L67" s="16"/>
      <c r="M67" s="16"/>
      <c r="N67" s="17"/>
      <c r="O67" s="374"/>
      <c r="P67" s="29"/>
      <c r="R67" s="26"/>
      <c r="S67" s="645"/>
      <c r="T67" s="645"/>
      <c r="U67" s="645"/>
      <c r="V67" s="645"/>
    </row>
    <row r="68" spans="1:22">
      <c r="A68" s="11"/>
      <c r="B68" s="11"/>
      <c r="C68" s="311"/>
      <c r="D68" s="311"/>
      <c r="E68" s="311"/>
      <c r="F68" s="24"/>
      <c r="G68" s="26"/>
      <c r="H68" s="32"/>
      <c r="I68" s="32"/>
      <c r="J68" s="24"/>
      <c r="K68" s="13"/>
      <c r="L68" s="16"/>
      <c r="M68" s="16"/>
      <c r="N68" s="17"/>
      <c r="O68" s="374"/>
      <c r="P68" s="29"/>
      <c r="R68" s="26"/>
      <c r="S68" s="310"/>
      <c r="T68" s="310"/>
      <c r="U68" s="310"/>
      <c r="V68" s="310"/>
    </row>
    <row r="69" spans="1:22" s="29" customFormat="1">
      <c r="A69" s="27"/>
      <c r="B69" s="27"/>
      <c r="C69" s="27"/>
      <c r="D69" s="27"/>
      <c r="E69" s="27"/>
      <c r="F69" s="27"/>
      <c r="G69" s="33"/>
      <c r="H69" s="27"/>
      <c r="I69" s="27"/>
      <c r="K69" s="30"/>
      <c r="L69" s="30"/>
      <c r="M69" s="30"/>
      <c r="N69" s="375"/>
      <c r="O69" s="375"/>
    </row>
    <row r="70" spans="1:22" s="29" customFormat="1" ht="35.25" customHeight="1">
      <c r="A70" s="27"/>
      <c r="B70" s="27"/>
      <c r="C70" s="380"/>
      <c r="D70" s="27"/>
      <c r="E70" s="27"/>
      <c r="F70" s="591"/>
      <c r="G70" s="628"/>
      <c r="H70" s="628"/>
      <c r="I70" s="628"/>
      <c r="J70" s="628"/>
      <c r="K70" s="628"/>
      <c r="L70" s="628"/>
      <c r="M70" s="628"/>
      <c r="N70" s="628"/>
      <c r="O70" s="375"/>
    </row>
    <row r="71" spans="1:22" s="29" customFormat="1">
      <c r="A71" s="27"/>
      <c r="B71" s="27"/>
      <c r="C71" s="27"/>
      <c r="D71" s="27"/>
      <c r="E71" s="27"/>
      <c r="F71" s="27"/>
      <c r="G71" s="33"/>
      <c r="H71" s="27"/>
      <c r="I71" s="27"/>
      <c r="K71" s="30"/>
      <c r="L71" s="30"/>
      <c r="M71" s="30"/>
      <c r="N71" s="375"/>
      <c r="O71" s="375"/>
    </row>
    <row r="72" spans="1:22" s="29" customFormat="1">
      <c r="A72" s="27"/>
      <c r="B72" s="27"/>
      <c r="C72" s="27"/>
      <c r="D72" s="27"/>
      <c r="E72" s="27"/>
      <c r="F72" s="27"/>
      <c r="G72" s="33"/>
      <c r="H72" s="27"/>
      <c r="I72" s="27"/>
      <c r="K72" s="30"/>
      <c r="L72" s="30"/>
      <c r="M72" s="30"/>
      <c r="N72" s="375"/>
      <c r="O72" s="375"/>
    </row>
    <row r="73" spans="1:22" s="29" customFormat="1">
      <c r="A73" s="27"/>
      <c r="B73" s="27"/>
      <c r="C73" s="27"/>
      <c r="D73" s="27"/>
      <c r="E73" s="27"/>
      <c r="F73" s="27"/>
      <c r="G73" s="33"/>
      <c r="H73" s="27"/>
      <c r="I73" s="27"/>
      <c r="K73" s="30"/>
      <c r="L73" s="30"/>
      <c r="M73" s="30"/>
      <c r="N73" s="375"/>
      <c r="O73" s="375"/>
    </row>
    <row r="74" spans="1:22" s="29" customFormat="1">
      <c r="A74" s="27"/>
      <c r="B74" s="27"/>
      <c r="C74" s="27"/>
      <c r="D74" s="27"/>
      <c r="E74" s="27"/>
      <c r="F74" s="27"/>
      <c r="G74" s="33"/>
      <c r="H74" s="27"/>
      <c r="I74" s="27"/>
      <c r="K74" s="30"/>
      <c r="L74" s="30"/>
      <c r="M74" s="30"/>
      <c r="N74" s="375"/>
      <c r="O74" s="375"/>
    </row>
    <row r="75" spans="1:22" s="29" customFormat="1">
      <c r="A75" s="27"/>
      <c r="B75" s="27"/>
      <c r="C75" s="27"/>
      <c r="D75" s="27"/>
      <c r="E75" s="27"/>
      <c r="F75" s="27"/>
      <c r="G75" s="33"/>
      <c r="H75" s="27"/>
      <c r="I75" s="27"/>
      <c r="K75" s="30"/>
      <c r="L75" s="30"/>
      <c r="M75" s="30"/>
      <c r="N75" s="375"/>
      <c r="O75" s="375"/>
    </row>
    <row r="76" spans="1:22" s="29" customFormat="1">
      <c r="A76" s="27"/>
      <c r="B76" s="27"/>
      <c r="C76" s="27"/>
      <c r="D76" s="27"/>
      <c r="E76" s="27"/>
      <c r="F76" s="27"/>
      <c r="G76" s="33"/>
      <c r="H76" s="27"/>
      <c r="I76" s="27"/>
      <c r="K76" s="30"/>
      <c r="L76" s="30"/>
      <c r="M76" s="30"/>
      <c r="N76" s="375"/>
      <c r="O76" s="375"/>
    </row>
    <row r="77" spans="1:22" s="29" customFormat="1">
      <c r="A77" s="27"/>
      <c r="B77" s="27"/>
      <c r="C77" s="27"/>
      <c r="D77" s="27"/>
      <c r="E77" s="27"/>
      <c r="F77" s="27"/>
      <c r="G77" s="33"/>
      <c r="H77" s="27"/>
      <c r="I77" s="27"/>
      <c r="K77" s="30"/>
      <c r="L77" s="30"/>
      <c r="M77" s="30"/>
      <c r="N77" s="375"/>
      <c r="O77" s="375"/>
    </row>
    <row r="78" spans="1:22" s="29" customFormat="1">
      <c r="A78" s="27"/>
      <c r="B78" s="27"/>
      <c r="C78" s="27"/>
      <c r="D78" s="27"/>
      <c r="E78" s="27"/>
      <c r="F78" s="27"/>
      <c r="G78" s="33"/>
      <c r="H78" s="27"/>
      <c r="I78" s="27"/>
      <c r="K78" s="30"/>
      <c r="L78" s="30"/>
      <c r="M78" s="30"/>
      <c r="N78" s="375"/>
      <c r="O78" s="375"/>
    </row>
    <row r="79" spans="1:22" s="29" customFormat="1">
      <c r="A79" s="27"/>
      <c r="B79" s="27"/>
      <c r="C79" s="27"/>
      <c r="D79" s="27"/>
      <c r="E79" s="27"/>
      <c r="F79" s="27"/>
      <c r="G79" s="33"/>
      <c r="H79" s="27"/>
      <c r="I79" s="27"/>
      <c r="K79" s="30"/>
      <c r="L79" s="30"/>
      <c r="M79" s="30"/>
      <c r="N79" s="375"/>
      <c r="O79" s="375"/>
    </row>
    <row r="80" spans="1:22" s="29" customFormat="1">
      <c r="A80" s="27"/>
      <c r="B80" s="27"/>
      <c r="C80" s="27"/>
      <c r="D80" s="27"/>
      <c r="E80" s="27"/>
      <c r="F80" s="27"/>
      <c r="G80" s="33"/>
      <c r="H80" s="27"/>
      <c r="I80" s="27"/>
      <c r="K80" s="30"/>
      <c r="L80" s="30"/>
      <c r="M80" s="30"/>
      <c r="N80" s="375"/>
      <c r="O80" s="375"/>
    </row>
    <row r="81" spans="1:15" s="29" customFormat="1">
      <c r="A81" s="27"/>
      <c r="B81" s="27"/>
      <c r="C81" s="27"/>
      <c r="D81" s="27"/>
      <c r="E81" s="27"/>
      <c r="F81" s="27"/>
      <c r="G81" s="33"/>
      <c r="H81" s="27"/>
      <c r="I81" s="27"/>
      <c r="K81" s="30"/>
      <c r="L81" s="30"/>
      <c r="M81" s="30"/>
      <c r="N81" s="375"/>
      <c r="O81" s="375"/>
    </row>
    <row r="82" spans="1:15" s="29" customFormat="1">
      <c r="A82" s="27"/>
      <c r="B82" s="27"/>
      <c r="C82" s="27"/>
      <c r="D82" s="27"/>
      <c r="E82" s="27"/>
      <c r="F82" s="27"/>
      <c r="G82" s="33"/>
      <c r="H82" s="27"/>
      <c r="I82" s="27"/>
      <c r="K82" s="30"/>
      <c r="L82" s="30"/>
      <c r="M82" s="30"/>
      <c r="N82" s="375"/>
      <c r="O82" s="375"/>
    </row>
    <row r="83" spans="1:15" s="29" customFormat="1">
      <c r="A83" s="27"/>
      <c r="B83" s="27"/>
      <c r="C83" s="27"/>
      <c r="D83" s="27"/>
      <c r="E83" s="27"/>
      <c r="F83" s="27"/>
      <c r="G83" s="33"/>
      <c r="H83" s="27"/>
      <c r="I83" s="27"/>
      <c r="K83" s="30"/>
      <c r="L83" s="30"/>
      <c r="M83" s="30"/>
      <c r="N83" s="375"/>
      <c r="O83" s="375"/>
    </row>
    <row r="84" spans="1:15" s="29" customFormat="1">
      <c r="A84" s="27"/>
      <c r="B84" s="27"/>
      <c r="C84" s="27"/>
      <c r="D84" s="27"/>
      <c r="E84" s="27"/>
      <c r="F84" s="27"/>
      <c r="G84" s="33"/>
      <c r="H84" s="27"/>
      <c r="I84" s="27"/>
      <c r="K84" s="30"/>
      <c r="L84" s="30"/>
      <c r="M84" s="30"/>
      <c r="N84" s="375"/>
      <c r="O84" s="375"/>
    </row>
    <row r="85" spans="1:15" s="29" customFormat="1">
      <c r="A85" s="27"/>
      <c r="B85" s="27"/>
      <c r="C85" s="27"/>
      <c r="D85" s="27"/>
      <c r="E85" s="27"/>
      <c r="F85" s="27"/>
      <c r="G85" s="33"/>
      <c r="H85" s="27"/>
      <c r="I85" s="27"/>
      <c r="K85" s="30"/>
      <c r="L85" s="30"/>
      <c r="M85" s="30"/>
      <c r="N85" s="375"/>
      <c r="O85" s="375"/>
    </row>
    <row r="86" spans="1:15" s="29" customFormat="1">
      <c r="A86" s="27"/>
      <c r="B86" s="27"/>
      <c r="C86" s="27"/>
      <c r="D86" s="27"/>
      <c r="E86" s="27"/>
      <c r="F86" s="27"/>
      <c r="G86" s="33"/>
      <c r="H86" s="27"/>
      <c r="I86" s="27"/>
      <c r="K86" s="30"/>
      <c r="L86" s="30"/>
      <c r="M86" s="30"/>
      <c r="N86" s="375"/>
      <c r="O86" s="375"/>
    </row>
    <row r="87" spans="1:15" s="29" customFormat="1">
      <c r="A87" s="27"/>
      <c r="B87" s="27"/>
      <c r="C87" s="27"/>
      <c r="D87" s="27"/>
      <c r="E87" s="27"/>
      <c r="F87" s="27"/>
      <c r="G87" s="33"/>
      <c r="H87" s="27"/>
      <c r="I87" s="27"/>
      <c r="K87" s="30"/>
      <c r="L87" s="30"/>
      <c r="M87" s="30"/>
      <c r="N87" s="375"/>
      <c r="O87" s="375"/>
    </row>
    <row r="88" spans="1:15" s="29" customFormat="1">
      <c r="A88" s="27"/>
      <c r="B88" s="27"/>
      <c r="C88" s="27"/>
      <c r="D88" s="27"/>
      <c r="E88" s="27"/>
      <c r="F88" s="27"/>
      <c r="G88" s="33"/>
      <c r="H88" s="27"/>
      <c r="I88" s="27"/>
      <c r="K88" s="30"/>
      <c r="L88" s="30"/>
      <c r="M88" s="30"/>
      <c r="N88" s="375"/>
      <c r="O88" s="375"/>
    </row>
    <row r="89" spans="1:15" s="29" customFormat="1">
      <c r="A89" s="27"/>
      <c r="B89" s="27"/>
      <c r="C89" s="27"/>
      <c r="D89" s="27"/>
      <c r="E89" s="27"/>
      <c r="F89" s="27"/>
      <c r="G89" s="33"/>
      <c r="H89" s="27"/>
      <c r="I89" s="27"/>
      <c r="K89" s="30"/>
      <c r="L89" s="30"/>
      <c r="M89" s="30"/>
      <c r="N89" s="375"/>
      <c r="O89" s="375"/>
    </row>
    <row r="90" spans="1:15" s="29" customFormat="1">
      <c r="A90" s="27"/>
      <c r="B90" s="27"/>
      <c r="C90" s="27"/>
      <c r="D90" s="27"/>
      <c r="E90" s="27"/>
      <c r="F90" s="27"/>
      <c r="G90" s="33"/>
      <c r="H90" s="27"/>
      <c r="I90" s="27"/>
      <c r="K90" s="30"/>
      <c r="L90" s="30"/>
      <c r="M90" s="30"/>
      <c r="N90" s="375"/>
      <c r="O90" s="375"/>
    </row>
    <row r="91" spans="1:15" s="29" customFormat="1">
      <c r="A91" s="27"/>
      <c r="B91" s="27"/>
      <c r="C91" s="27"/>
      <c r="D91" s="27"/>
      <c r="E91" s="27"/>
      <c r="F91" s="27"/>
      <c r="G91" s="33"/>
      <c r="H91" s="27"/>
      <c r="I91" s="27"/>
      <c r="K91" s="30"/>
      <c r="L91" s="30"/>
      <c r="M91" s="30"/>
      <c r="N91" s="375"/>
      <c r="O91" s="375"/>
    </row>
    <row r="92" spans="1:15" s="29" customFormat="1">
      <c r="A92" s="27"/>
      <c r="B92" s="27"/>
      <c r="C92" s="27"/>
      <c r="D92" s="27"/>
      <c r="E92" s="27"/>
      <c r="F92" s="27"/>
      <c r="G92" s="33"/>
      <c r="H92" s="27"/>
      <c r="I92" s="27"/>
      <c r="K92" s="30"/>
      <c r="L92" s="30"/>
      <c r="M92" s="30"/>
      <c r="N92" s="375"/>
      <c r="O92" s="375"/>
    </row>
    <row r="93" spans="1:15" s="29" customFormat="1">
      <c r="A93" s="27"/>
      <c r="B93" s="27"/>
      <c r="C93" s="27"/>
      <c r="D93" s="27"/>
      <c r="E93" s="27"/>
      <c r="F93" s="27"/>
      <c r="G93" s="33"/>
      <c r="H93" s="27"/>
      <c r="I93" s="27"/>
      <c r="K93" s="30"/>
      <c r="L93" s="30"/>
      <c r="M93" s="30"/>
      <c r="N93" s="375"/>
      <c r="O93" s="375"/>
    </row>
    <row r="94" spans="1:15" s="29" customFormat="1">
      <c r="A94" s="27"/>
      <c r="B94" s="27"/>
      <c r="C94" s="27"/>
      <c r="D94" s="27"/>
      <c r="E94" s="27"/>
      <c r="F94" s="27"/>
      <c r="G94" s="33"/>
      <c r="H94" s="27"/>
      <c r="I94" s="27"/>
      <c r="K94" s="30"/>
      <c r="L94" s="30"/>
      <c r="M94" s="30"/>
      <c r="N94" s="375"/>
      <c r="O94" s="375"/>
    </row>
    <row r="95" spans="1:15" s="29" customFormat="1">
      <c r="A95" s="27"/>
      <c r="B95" s="27"/>
      <c r="C95" s="27"/>
      <c r="D95" s="27"/>
      <c r="E95" s="27"/>
      <c r="F95" s="27"/>
      <c r="G95" s="33"/>
      <c r="H95" s="27"/>
      <c r="I95" s="27"/>
      <c r="K95" s="30"/>
      <c r="L95" s="30"/>
      <c r="M95" s="30"/>
      <c r="N95" s="375"/>
      <c r="O95" s="375"/>
    </row>
    <row r="96" spans="1:15" s="29" customFormat="1">
      <c r="A96" s="27"/>
      <c r="B96" s="27"/>
      <c r="C96" s="27"/>
      <c r="D96" s="27"/>
      <c r="E96" s="27"/>
      <c r="F96" s="27"/>
      <c r="G96" s="33"/>
      <c r="H96" s="27"/>
      <c r="I96" s="27"/>
      <c r="K96" s="30"/>
      <c r="L96" s="30"/>
      <c r="M96" s="30"/>
      <c r="N96" s="375"/>
      <c r="O96" s="375"/>
    </row>
    <row r="97" spans="1:15" s="29" customFormat="1">
      <c r="A97" s="27"/>
      <c r="B97" s="27"/>
      <c r="C97" s="27"/>
      <c r="D97" s="27"/>
      <c r="E97" s="27"/>
      <c r="F97" s="27"/>
      <c r="G97" s="33"/>
      <c r="H97" s="27"/>
      <c r="I97" s="27"/>
      <c r="K97" s="30"/>
      <c r="L97" s="30"/>
      <c r="M97" s="30"/>
      <c r="N97" s="375"/>
      <c r="O97" s="375"/>
    </row>
    <row r="98" spans="1:15" s="29" customFormat="1">
      <c r="A98" s="27"/>
      <c r="B98" s="27"/>
      <c r="C98" s="27"/>
      <c r="D98" s="27"/>
      <c r="E98" s="27"/>
      <c r="F98" s="27"/>
      <c r="G98" s="33"/>
      <c r="H98" s="27"/>
      <c r="I98" s="27"/>
      <c r="K98" s="30"/>
      <c r="L98" s="30"/>
      <c r="M98" s="30"/>
      <c r="N98" s="375"/>
      <c r="O98" s="375"/>
    </row>
    <row r="99" spans="1:15" s="29" customFormat="1">
      <c r="A99" s="27"/>
      <c r="B99" s="27"/>
      <c r="C99" s="27"/>
      <c r="D99" s="27"/>
      <c r="E99" s="27"/>
      <c r="F99" s="27"/>
      <c r="G99" s="33"/>
      <c r="H99" s="27"/>
      <c r="I99" s="27"/>
      <c r="K99" s="30"/>
      <c r="L99" s="30"/>
      <c r="M99" s="30"/>
      <c r="N99" s="375"/>
      <c r="O99" s="375"/>
    </row>
    <row r="100" spans="1:15" s="29" customFormat="1">
      <c r="A100" s="27"/>
      <c r="B100" s="27"/>
      <c r="C100" s="27"/>
      <c r="D100" s="27"/>
      <c r="E100" s="27"/>
      <c r="F100" s="27"/>
      <c r="G100" s="33"/>
      <c r="H100" s="27"/>
      <c r="I100" s="27"/>
      <c r="K100" s="30"/>
      <c r="L100" s="30"/>
      <c r="M100" s="30"/>
      <c r="N100" s="375"/>
      <c r="O100" s="375"/>
    </row>
    <row r="101" spans="1:15" s="29" customFormat="1">
      <c r="A101" s="27"/>
      <c r="B101" s="27"/>
      <c r="C101" s="27"/>
      <c r="D101" s="27"/>
      <c r="E101" s="27"/>
      <c r="F101" s="27"/>
      <c r="G101" s="33"/>
      <c r="H101" s="27"/>
      <c r="I101" s="27"/>
      <c r="K101" s="30"/>
      <c r="L101" s="30"/>
      <c r="M101" s="30"/>
      <c r="N101" s="375"/>
      <c r="O101" s="375"/>
    </row>
    <row r="102" spans="1:15" s="29" customFormat="1">
      <c r="A102" s="27"/>
      <c r="B102" s="27"/>
      <c r="C102" s="27"/>
      <c r="D102" s="27"/>
      <c r="E102" s="27"/>
      <c r="F102" s="27"/>
      <c r="G102" s="33"/>
      <c r="H102" s="27"/>
      <c r="I102" s="27"/>
      <c r="K102" s="30"/>
      <c r="L102" s="30"/>
      <c r="M102" s="30"/>
      <c r="N102" s="375"/>
      <c r="O102" s="375"/>
    </row>
    <row r="103" spans="1:15" s="29" customFormat="1">
      <c r="A103" s="27"/>
      <c r="B103" s="27"/>
      <c r="C103" s="27"/>
      <c r="D103" s="27"/>
      <c r="E103" s="27"/>
      <c r="F103" s="27"/>
      <c r="G103" s="33"/>
      <c r="H103" s="27"/>
      <c r="I103" s="27"/>
      <c r="K103" s="30"/>
      <c r="L103" s="30"/>
      <c r="M103" s="30"/>
      <c r="N103" s="375"/>
      <c r="O103" s="375"/>
    </row>
    <row r="104" spans="1:15" s="29" customFormat="1">
      <c r="A104" s="27"/>
      <c r="B104" s="27"/>
      <c r="C104" s="27"/>
      <c r="D104" s="27"/>
      <c r="E104" s="27"/>
      <c r="F104" s="27"/>
      <c r="G104" s="33"/>
      <c r="H104" s="27"/>
      <c r="I104" s="27"/>
      <c r="K104" s="30"/>
      <c r="L104" s="30"/>
      <c r="M104" s="30"/>
      <c r="N104" s="375"/>
      <c r="O104" s="375"/>
    </row>
    <row r="105" spans="1:15" s="29" customFormat="1">
      <c r="A105" s="27"/>
      <c r="B105" s="27"/>
      <c r="C105" s="27"/>
      <c r="D105" s="27"/>
      <c r="E105" s="27"/>
      <c r="F105" s="27"/>
      <c r="G105" s="33"/>
      <c r="H105" s="27"/>
      <c r="I105" s="27"/>
      <c r="K105" s="30"/>
      <c r="L105" s="30"/>
      <c r="M105" s="30"/>
      <c r="N105" s="375"/>
      <c r="O105" s="375"/>
    </row>
    <row r="106" spans="1:15" s="29" customFormat="1">
      <c r="A106" s="27"/>
      <c r="B106" s="27"/>
      <c r="C106" s="27"/>
      <c r="D106" s="27"/>
      <c r="E106" s="27"/>
      <c r="F106" s="27"/>
      <c r="G106" s="33"/>
      <c r="H106" s="27"/>
      <c r="I106" s="27"/>
      <c r="K106" s="30"/>
      <c r="L106" s="30"/>
      <c r="M106" s="30"/>
      <c r="N106" s="375"/>
      <c r="O106" s="375"/>
    </row>
    <row r="107" spans="1:15" s="29" customFormat="1">
      <c r="A107" s="27"/>
      <c r="B107" s="27"/>
      <c r="C107" s="27"/>
      <c r="D107" s="27"/>
      <c r="E107" s="27"/>
      <c r="F107" s="27"/>
      <c r="G107" s="33"/>
      <c r="H107" s="27"/>
      <c r="I107" s="27"/>
      <c r="K107" s="30"/>
      <c r="L107" s="30"/>
      <c r="M107" s="30"/>
      <c r="N107" s="375"/>
      <c r="O107" s="375"/>
    </row>
    <row r="108" spans="1:15" s="29" customFormat="1">
      <c r="A108" s="27"/>
      <c r="B108" s="27"/>
      <c r="C108" s="27"/>
      <c r="D108" s="27"/>
      <c r="E108" s="27"/>
      <c r="F108" s="27"/>
      <c r="G108" s="33"/>
      <c r="H108" s="27"/>
      <c r="I108" s="27"/>
      <c r="K108" s="30"/>
      <c r="L108" s="30"/>
      <c r="M108" s="30"/>
      <c r="N108" s="375"/>
      <c r="O108" s="375"/>
    </row>
    <row r="109" spans="1:15" s="29" customFormat="1">
      <c r="A109" s="27"/>
      <c r="B109" s="27"/>
      <c r="C109" s="27"/>
      <c r="D109" s="27"/>
      <c r="E109" s="27"/>
      <c r="F109" s="27"/>
      <c r="G109" s="33"/>
      <c r="H109" s="27"/>
      <c r="I109" s="27"/>
      <c r="K109" s="30"/>
      <c r="L109" s="30"/>
      <c r="M109" s="30"/>
      <c r="N109" s="375"/>
      <c r="O109" s="375"/>
    </row>
    <row r="110" spans="1:15" s="29" customFormat="1">
      <c r="A110" s="27"/>
      <c r="B110" s="27"/>
      <c r="C110" s="27"/>
      <c r="D110" s="27"/>
      <c r="E110" s="27"/>
      <c r="F110" s="27"/>
      <c r="G110" s="33"/>
      <c r="H110" s="27"/>
      <c r="I110" s="27"/>
      <c r="K110" s="30"/>
      <c r="L110" s="30"/>
      <c r="M110" s="30"/>
      <c r="N110" s="375"/>
      <c r="O110" s="375"/>
    </row>
    <row r="111" spans="1:15" s="29" customFormat="1">
      <c r="A111" s="27"/>
      <c r="B111" s="27"/>
      <c r="C111" s="27"/>
      <c r="D111" s="27"/>
      <c r="E111" s="27"/>
      <c r="F111" s="27"/>
      <c r="G111" s="33"/>
      <c r="H111" s="27"/>
      <c r="I111" s="27"/>
      <c r="K111" s="30"/>
      <c r="L111" s="30"/>
      <c r="M111" s="30"/>
      <c r="N111" s="375"/>
      <c r="O111" s="375"/>
    </row>
    <row r="112" spans="1:15" s="29" customFormat="1">
      <c r="A112" s="27"/>
      <c r="B112" s="27"/>
      <c r="C112" s="27"/>
      <c r="D112" s="27"/>
      <c r="E112" s="27"/>
      <c r="F112" s="27"/>
      <c r="G112" s="33"/>
      <c r="H112" s="27"/>
      <c r="I112" s="27"/>
      <c r="K112" s="30"/>
      <c r="L112" s="30"/>
      <c r="M112" s="30"/>
      <c r="N112" s="375"/>
      <c r="O112" s="375"/>
    </row>
    <row r="113" spans="1:15" s="29" customFormat="1">
      <c r="A113" s="27"/>
      <c r="B113" s="27"/>
      <c r="C113" s="27"/>
      <c r="D113" s="27"/>
      <c r="E113" s="27"/>
      <c r="F113" s="27"/>
      <c r="G113" s="33"/>
      <c r="H113" s="27"/>
      <c r="I113" s="27"/>
      <c r="K113" s="30"/>
      <c r="L113" s="30"/>
      <c r="M113" s="30"/>
      <c r="N113" s="375"/>
      <c r="O113" s="375"/>
    </row>
    <row r="114" spans="1:15" s="29" customFormat="1">
      <c r="A114" s="27"/>
      <c r="B114" s="27"/>
      <c r="C114" s="27"/>
      <c r="D114" s="27"/>
      <c r="E114" s="27"/>
      <c r="F114" s="27"/>
      <c r="G114" s="33"/>
      <c r="H114" s="27"/>
      <c r="I114" s="27"/>
      <c r="K114" s="30"/>
      <c r="L114" s="30"/>
      <c r="M114" s="30"/>
      <c r="N114" s="375"/>
      <c r="O114" s="375"/>
    </row>
    <row r="115" spans="1:15" s="29" customFormat="1">
      <c r="A115" s="27"/>
      <c r="B115" s="27"/>
      <c r="C115" s="27"/>
      <c r="D115" s="27"/>
      <c r="E115" s="27"/>
      <c r="F115" s="27"/>
      <c r="G115" s="33"/>
      <c r="H115" s="27"/>
      <c r="I115" s="27"/>
      <c r="K115" s="30"/>
      <c r="L115" s="30"/>
      <c r="M115" s="30"/>
      <c r="N115" s="375"/>
      <c r="O115" s="375"/>
    </row>
    <row r="116" spans="1:15" s="29" customFormat="1">
      <c r="A116" s="27"/>
      <c r="B116" s="27"/>
      <c r="C116" s="27"/>
      <c r="D116" s="27"/>
      <c r="E116" s="27"/>
      <c r="F116" s="27"/>
      <c r="G116" s="33"/>
      <c r="H116" s="27"/>
      <c r="I116" s="27"/>
      <c r="K116" s="30"/>
      <c r="L116" s="30"/>
      <c r="M116" s="30"/>
      <c r="N116" s="375"/>
      <c r="O116" s="375"/>
    </row>
    <row r="117" spans="1:15" s="29" customFormat="1">
      <c r="A117" s="27"/>
      <c r="B117" s="27"/>
      <c r="C117" s="27"/>
      <c r="D117" s="27"/>
      <c r="E117" s="27"/>
      <c r="F117" s="27"/>
      <c r="G117" s="33"/>
      <c r="H117" s="27"/>
      <c r="I117" s="27"/>
      <c r="K117" s="30"/>
      <c r="L117" s="30"/>
      <c r="M117" s="30"/>
      <c r="N117" s="375"/>
      <c r="O117" s="375"/>
    </row>
    <row r="118" spans="1:15" s="29" customFormat="1">
      <c r="A118" s="27"/>
      <c r="B118" s="27"/>
      <c r="C118" s="27"/>
      <c r="D118" s="27"/>
      <c r="E118" s="27"/>
      <c r="F118" s="27"/>
      <c r="G118" s="33"/>
      <c r="H118" s="27"/>
      <c r="I118" s="27"/>
      <c r="K118" s="30"/>
      <c r="L118" s="30"/>
      <c r="M118" s="30"/>
      <c r="N118" s="375"/>
      <c r="O118" s="375"/>
    </row>
    <row r="119" spans="1:15" s="29" customFormat="1">
      <c r="A119" s="27"/>
      <c r="B119" s="27"/>
      <c r="C119" s="27"/>
      <c r="D119" s="27"/>
      <c r="E119" s="27"/>
      <c r="F119" s="27"/>
      <c r="G119" s="33"/>
      <c r="H119" s="27"/>
      <c r="I119" s="27"/>
      <c r="K119" s="30"/>
      <c r="L119" s="30"/>
      <c r="M119" s="30"/>
      <c r="N119" s="375"/>
      <c r="O119" s="375"/>
    </row>
    <row r="120" spans="1:15" s="29" customFormat="1">
      <c r="A120" s="27"/>
      <c r="B120" s="27"/>
      <c r="C120" s="27"/>
      <c r="D120" s="27"/>
      <c r="E120" s="27"/>
      <c r="F120" s="27"/>
      <c r="G120" s="33"/>
      <c r="H120" s="27"/>
      <c r="I120" s="27"/>
      <c r="K120" s="30"/>
      <c r="L120" s="30"/>
      <c r="M120" s="30"/>
      <c r="N120" s="375"/>
      <c r="O120" s="375"/>
    </row>
    <row r="121" spans="1:15" s="29" customFormat="1">
      <c r="A121" s="27"/>
      <c r="B121" s="27"/>
      <c r="C121" s="27"/>
      <c r="D121" s="27"/>
      <c r="E121" s="27"/>
      <c r="F121" s="27"/>
      <c r="G121" s="33"/>
      <c r="H121" s="27"/>
      <c r="I121" s="27"/>
      <c r="K121" s="30"/>
      <c r="L121" s="30"/>
      <c r="M121" s="30"/>
      <c r="N121" s="375"/>
      <c r="O121" s="375"/>
    </row>
    <row r="122" spans="1:15" s="29" customFormat="1">
      <c r="A122" s="27"/>
      <c r="B122" s="27"/>
      <c r="C122" s="27"/>
      <c r="D122" s="27"/>
      <c r="E122" s="27"/>
      <c r="F122" s="27"/>
      <c r="G122" s="33"/>
      <c r="H122" s="27"/>
      <c r="I122" s="27"/>
      <c r="K122" s="30"/>
      <c r="L122" s="30"/>
      <c r="M122" s="30"/>
      <c r="N122" s="375"/>
      <c r="O122" s="375"/>
    </row>
    <row r="123" spans="1:15" s="29" customFormat="1">
      <c r="A123" s="27"/>
      <c r="B123" s="27"/>
      <c r="C123" s="27"/>
      <c r="D123" s="27"/>
      <c r="E123" s="27"/>
      <c r="F123" s="27"/>
      <c r="G123" s="33"/>
      <c r="H123" s="27"/>
      <c r="I123" s="27"/>
      <c r="K123" s="30"/>
      <c r="L123" s="30"/>
      <c r="M123" s="30"/>
      <c r="N123" s="375"/>
      <c r="O123" s="375"/>
    </row>
    <row r="124" spans="1:15" s="29" customFormat="1">
      <c r="A124" s="27"/>
      <c r="B124" s="27"/>
      <c r="C124" s="27"/>
      <c r="D124" s="27"/>
      <c r="E124" s="27"/>
      <c r="F124" s="27"/>
      <c r="G124" s="33"/>
      <c r="H124" s="27"/>
      <c r="I124" s="27"/>
      <c r="K124" s="30"/>
      <c r="L124" s="30"/>
      <c r="M124" s="30"/>
      <c r="N124" s="375"/>
      <c r="O124" s="375"/>
    </row>
    <row r="125" spans="1:15" s="29" customFormat="1">
      <c r="A125" s="27"/>
      <c r="B125" s="27"/>
      <c r="C125" s="27"/>
      <c r="D125" s="27"/>
      <c r="E125" s="27"/>
      <c r="F125" s="27"/>
      <c r="G125" s="33"/>
      <c r="H125" s="27"/>
      <c r="I125" s="27"/>
      <c r="K125" s="30"/>
      <c r="L125" s="30"/>
      <c r="M125" s="30"/>
      <c r="N125" s="375"/>
      <c r="O125" s="375"/>
    </row>
    <row r="126" spans="1:15" s="29" customFormat="1">
      <c r="A126" s="27"/>
      <c r="B126" s="27"/>
      <c r="C126" s="27"/>
      <c r="D126" s="27"/>
      <c r="E126" s="27"/>
      <c r="F126" s="27"/>
      <c r="G126" s="33"/>
      <c r="H126" s="27"/>
      <c r="I126" s="27"/>
      <c r="K126" s="30"/>
      <c r="L126" s="30"/>
      <c r="M126" s="30"/>
      <c r="N126" s="375"/>
      <c r="O126" s="375"/>
    </row>
    <row r="127" spans="1:15" s="29" customFormat="1">
      <c r="A127" s="27"/>
      <c r="B127" s="27"/>
      <c r="C127" s="27"/>
      <c r="D127" s="27"/>
      <c r="E127" s="27"/>
      <c r="F127" s="27"/>
      <c r="G127" s="33"/>
      <c r="H127" s="27"/>
      <c r="I127" s="27"/>
      <c r="K127" s="30"/>
      <c r="L127" s="30"/>
      <c r="M127" s="30"/>
      <c r="N127" s="375"/>
      <c r="O127" s="375"/>
    </row>
    <row r="128" spans="1:15" s="29" customFormat="1">
      <c r="A128" s="27"/>
      <c r="B128" s="27"/>
      <c r="C128" s="27"/>
      <c r="D128" s="27"/>
      <c r="E128" s="27"/>
      <c r="F128" s="27"/>
      <c r="G128" s="33"/>
      <c r="H128" s="27"/>
      <c r="I128" s="27"/>
      <c r="K128" s="30"/>
      <c r="L128" s="30"/>
      <c r="M128" s="30"/>
      <c r="N128" s="375"/>
      <c r="O128" s="375"/>
    </row>
    <row r="129" spans="1:15" s="29" customFormat="1">
      <c r="A129" s="27"/>
      <c r="B129" s="27"/>
      <c r="C129" s="27"/>
      <c r="D129" s="27"/>
      <c r="E129" s="27"/>
      <c r="F129" s="27"/>
      <c r="G129" s="33"/>
      <c r="H129" s="27"/>
      <c r="I129" s="27"/>
      <c r="K129" s="30"/>
      <c r="L129" s="30"/>
      <c r="M129" s="30"/>
      <c r="N129" s="375"/>
      <c r="O129" s="375"/>
    </row>
    <row r="130" spans="1:15" s="29" customFormat="1">
      <c r="A130" s="27"/>
      <c r="B130" s="27"/>
      <c r="C130" s="27"/>
      <c r="D130" s="27"/>
      <c r="E130" s="27"/>
      <c r="F130" s="27"/>
      <c r="G130" s="33"/>
      <c r="H130" s="27"/>
      <c r="I130" s="27"/>
      <c r="K130" s="30"/>
      <c r="L130" s="30"/>
      <c r="M130" s="30"/>
      <c r="N130" s="375"/>
      <c r="O130" s="375"/>
    </row>
    <row r="131" spans="1:15" s="29" customFormat="1">
      <c r="A131" s="27"/>
      <c r="B131" s="27"/>
      <c r="C131" s="27"/>
      <c r="D131" s="27"/>
      <c r="E131" s="27"/>
      <c r="F131" s="27"/>
      <c r="G131" s="33"/>
      <c r="H131" s="27"/>
      <c r="I131" s="27"/>
      <c r="K131" s="30"/>
      <c r="L131" s="30"/>
      <c r="M131" s="30"/>
      <c r="N131" s="375"/>
      <c r="O131" s="375"/>
    </row>
    <row r="132" spans="1:15" s="29" customFormat="1">
      <c r="A132" s="27"/>
      <c r="B132" s="27"/>
      <c r="C132" s="27"/>
      <c r="D132" s="27"/>
      <c r="E132" s="27"/>
      <c r="F132" s="27"/>
      <c r="G132" s="33"/>
      <c r="H132" s="27"/>
      <c r="I132" s="27"/>
      <c r="K132" s="30"/>
      <c r="L132" s="30"/>
      <c r="M132" s="30"/>
      <c r="N132" s="375"/>
      <c r="O132" s="375"/>
    </row>
    <row r="133" spans="1:15" s="29" customFormat="1">
      <c r="A133" s="27"/>
      <c r="B133" s="27"/>
      <c r="C133" s="27"/>
      <c r="D133" s="27"/>
      <c r="E133" s="27"/>
      <c r="F133" s="27"/>
      <c r="G133" s="33"/>
      <c r="H133" s="27"/>
      <c r="I133" s="27"/>
      <c r="K133" s="30"/>
      <c r="L133" s="30"/>
      <c r="M133" s="30"/>
      <c r="N133" s="375"/>
      <c r="O133" s="375"/>
    </row>
    <row r="134" spans="1:15" s="29" customFormat="1">
      <c r="A134" s="27"/>
      <c r="B134" s="27"/>
      <c r="C134" s="27"/>
      <c r="D134" s="27"/>
      <c r="E134" s="27"/>
      <c r="F134" s="27"/>
      <c r="G134" s="33"/>
      <c r="H134" s="27"/>
      <c r="I134" s="27"/>
      <c r="K134" s="30"/>
      <c r="L134" s="30"/>
      <c r="M134" s="30"/>
      <c r="N134" s="375"/>
      <c r="O134" s="375"/>
    </row>
    <row r="135" spans="1:15" s="29" customFormat="1">
      <c r="A135" s="27"/>
      <c r="B135" s="27"/>
      <c r="C135" s="27"/>
      <c r="D135" s="27"/>
      <c r="E135" s="27"/>
      <c r="F135" s="27"/>
      <c r="G135" s="33"/>
      <c r="H135" s="27"/>
      <c r="I135" s="27"/>
      <c r="K135" s="30"/>
      <c r="L135" s="30"/>
      <c r="M135" s="30"/>
      <c r="N135" s="375"/>
      <c r="O135" s="375"/>
    </row>
    <row r="136" spans="1:15" s="29" customFormat="1">
      <c r="A136" s="27"/>
      <c r="B136" s="27"/>
      <c r="C136" s="27"/>
      <c r="D136" s="27"/>
      <c r="E136" s="27"/>
      <c r="F136" s="27"/>
      <c r="G136" s="33"/>
      <c r="H136" s="27"/>
      <c r="I136" s="27"/>
      <c r="K136" s="30"/>
      <c r="L136" s="30"/>
      <c r="M136" s="30"/>
      <c r="N136" s="375"/>
      <c r="O136" s="375"/>
    </row>
    <row r="137" spans="1:15" s="29" customFormat="1">
      <c r="A137" s="27"/>
      <c r="B137" s="27"/>
      <c r="C137" s="27"/>
      <c r="D137" s="27"/>
      <c r="E137" s="27"/>
      <c r="F137" s="27"/>
      <c r="G137" s="33"/>
      <c r="H137" s="27"/>
      <c r="I137" s="27"/>
      <c r="K137" s="30"/>
      <c r="L137" s="30"/>
      <c r="M137" s="30"/>
      <c r="N137" s="375"/>
      <c r="O137" s="375"/>
    </row>
    <row r="138" spans="1:15" s="29" customFormat="1">
      <c r="A138" s="27"/>
      <c r="B138" s="27"/>
      <c r="C138" s="27"/>
      <c r="D138" s="27"/>
      <c r="E138" s="27"/>
      <c r="F138" s="27"/>
      <c r="G138" s="33"/>
      <c r="H138" s="27"/>
      <c r="I138" s="27"/>
      <c r="K138" s="30"/>
      <c r="L138" s="30"/>
      <c r="M138" s="30"/>
      <c r="N138" s="375"/>
      <c r="O138" s="375"/>
    </row>
    <row r="139" spans="1:15" s="29" customFormat="1">
      <c r="A139" s="27"/>
      <c r="B139" s="27"/>
      <c r="C139" s="27"/>
      <c r="D139" s="27"/>
      <c r="E139" s="27"/>
      <c r="F139" s="27"/>
      <c r="G139" s="33"/>
      <c r="H139" s="27"/>
      <c r="I139" s="27"/>
      <c r="K139" s="30"/>
      <c r="L139" s="30"/>
      <c r="M139" s="30"/>
      <c r="N139" s="375"/>
      <c r="O139" s="375"/>
    </row>
    <row r="140" spans="1:15" s="29" customFormat="1">
      <c r="A140" s="27"/>
      <c r="B140" s="27"/>
      <c r="C140" s="27"/>
      <c r="D140" s="27"/>
      <c r="E140" s="27"/>
      <c r="F140" s="27"/>
      <c r="G140" s="33"/>
      <c r="H140" s="27"/>
      <c r="I140" s="27"/>
      <c r="K140" s="30"/>
      <c r="L140" s="30"/>
      <c r="M140" s="30"/>
      <c r="N140" s="375"/>
      <c r="O140" s="375"/>
    </row>
    <row r="141" spans="1:15" s="29" customFormat="1">
      <c r="A141" s="27"/>
      <c r="B141" s="27"/>
      <c r="C141" s="27"/>
      <c r="D141" s="27"/>
      <c r="E141" s="27"/>
      <c r="F141" s="27"/>
      <c r="G141" s="33"/>
      <c r="H141" s="27"/>
      <c r="I141" s="27"/>
      <c r="K141" s="30"/>
      <c r="L141" s="30"/>
      <c r="M141" s="30"/>
      <c r="N141" s="375"/>
      <c r="O141" s="375"/>
    </row>
    <row r="142" spans="1:15" s="29" customFormat="1">
      <c r="A142" s="27"/>
      <c r="B142" s="27"/>
      <c r="C142" s="27"/>
      <c r="D142" s="27"/>
      <c r="E142" s="27"/>
      <c r="F142" s="27"/>
      <c r="G142" s="33"/>
      <c r="H142" s="27"/>
      <c r="I142" s="27"/>
      <c r="K142" s="30"/>
      <c r="L142" s="30"/>
      <c r="M142" s="30"/>
      <c r="N142" s="375"/>
      <c r="O142" s="375"/>
    </row>
    <row r="143" spans="1:15" s="29" customFormat="1">
      <c r="A143" s="27"/>
      <c r="B143" s="27"/>
      <c r="C143" s="27"/>
      <c r="D143" s="27"/>
      <c r="E143" s="27"/>
      <c r="F143" s="27"/>
      <c r="G143" s="33"/>
      <c r="H143" s="27"/>
      <c r="I143" s="27"/>
      <c r="K143" s="30"/>
      <c r="L143" s="30"/>
      <c r="M143" s="30"/>
      <c r="N143" s="375"/>
      <c r="O143" s="375"/>
    </row>
    <row r="144" spans="1:15" s="29" customFormat="1">
      <c r="A144" s="27"/>
      <c r="B144" s="27"/>
      <c r="C144" s="27"/>
      <c r="D144" s="27"/>
      <c r="E144" s="27"/>
      <c r="F144" s="27"/>
      <c r="G144" s="33"/>
      <c r="H144" s="27"/>
      <c r="I144" s="27"/>
      <c r="K144" s="30"/>
      <c r="L144" s="30"/>
      <c r="M144" s="30"/>
      <c r="N144" s="375"/>
      <c r="O144" s="375"/>
    </row>
    <row r="145" spans="1:15" s="29" customFormat="1">
      <c r="A145" s="27"/>
      <c r="B145" s="27"/>
      <c r="C145" s="27"/>
      <c r="D145" s="27"/>
      <c r="E145" s="27"/>
      <c r="F145" s="27"/>
      <c r="G145" s="33"/>
      <c r="H145" s="27"/>
      <c r="I145" s="27"/>
      <c r="K145" s="30"/>
      <c r="L145" s="30"/>
      <c r="M145" s="30"/>
      <c r="N145" s="375"/>
      <c r="O145" s="375"/>
    </row>
    <row r="146" spans="1:15" s="29" customFormat="1">
      <c r="A146" s="27"/>
      <c r="B146" s="27"/>
      <c r="C146" s="27"/>
      <c r="D146" s="27"/>
      <c r="E146" s="27"/>
      <c r="F146" s="27"/>
      <c r="G146" s="33"/>
      <c r="H146" s="27"/>
      <c r="I146" s="27"/>
      <c r="K146" s="30"/>
      <c r="L146" s="30"/>
      <c r="M146" s="30"/>
      <c r="N146" s="375"/>
      <c r="O146" s="375"/>
    </row>
    <row r="147" spans="1:15" s="29" customFormat="1">
      <c r="A147" s="27"/>
      <c r="B147" s="27"/>
      <c r="C147" s="27"/>
      <c r="D147" s="27"/>
      <c r="E147" s="27"/>
      <c r="F147" s="27"/>
      <c r="G147" s="33"/>
      <c r="H147" s="27"/>
      <c r="I147" s="27"/>
      <c r="K147" s="30"/>
      <c r="L147" s="30"/>
      <c r="M147" s="30"/>
      <c r="N147" s="375"/>
      <c r="O147" s="375"/>
    </row>
    <row r="148" spans="1:15" s="29" customFormat="1">
      <c r="A148" s="27"/>
      <c r="B148" s="27"/>
      <c r="C148" s="27"/>
      <c r="D148" s="27"/>
      <c r="E148" s="27"/>
      <c r="F148" s="27"/>
      <c r="G148" s="33"/>
      <c r="H148" s="27"/>
      <c r="I148" s="27"/>
      <c r="K148" s="30"/>
      <c r="L148" s="30"/>
      <c r="M148" s="30"/>
      <c r="N148" s="375"/>
      <c r="O148" s="375"/>
    </row>
    <row r="149" spans="1:15" s="29" customFormat="1">
      <c r="A149" s="27"/>
      <c r="B149" s="27"/>
      <c r="C149" s="27"/>
      <c r="D149" s="27"/>
      <c r="E149" s="27"/>
      <c r="F149" s="27"/>
      <c r="G149" s="33"/>
      <c r="H149" s="27"/>
      <c r="I149" s="27"/>
      <c r="K149" s="30"/>
      <c r="L149" s="30"/>
      <c r="M149" s="30"/>
      <c r="N149" s="375"/>
      <c r="O149" s="375"/>
    </row>
    <row r="150" spans="1:15" s="29" customFormat="1">
      <c r="A150" s="27"/>
      <c r="B150" s="27"/>
      <c r="C150" s="27"/>
      <c r="D150" s="27"/>
      <c r="E150" s="27"/>
      <c r="F150" s="27"/>
      <c r="G150" s="33"/>
      <c r="H150" s="27"/>
      <c r="I150" s="27"/>
      <c r="K150" s="30"/>
      <c r="L150" s="30"/>
      <c r="M150" s="30"/>
      <c r="N150" s="375"/>
      <c r="O150" s="375"/>
    </row>
    <row r="151" spans="1:15" s="29" customFormat="1">
      <c r="A151" s="27"/>
      <c r="B151" s="27"/>
      <c r="C151" s="27"/>
      <c r="D151" s="27"/>
      <c r="E151" s="27"/>
      <c r="F151" s="27"/>
      <c r="G151" s="33"/>
      <c r="H151" s="27"/>
      <c r="I151" s="27"/>
      <c r="K151" s="30"/>
      <c r="L151" s="30"/>
      <c r="M151" s="30"/>
      <c r="N151" s="375"/>
      <c r="O151" s="375"/>
    </row>
    <row r="152" spans="1:15" s="29" customFormat="1">
      <c r="A152" s="27"/>
      <c r="B152" s="27"/>
      <c r="C152" s="27"/>
      <c r="D152" s="27"/>
      <c r="E152" s="27"/>
      <c r="F152" s="27"/>
      <c r="G152" s="33"/>
      <c r="H152" s="27"/>
      <c r="I152" s="27"/>
      <c r="K152" s="30"/>
      <c r="L152" s="30"/>
      <c r="M152" s="30"/>
      <c r="N152" s="375"/>
      <c r="O152" s="375"/>
    </row>
    <row r="153" spans="1:15" s="29" customFormat="1">
      <c r="A153" s="27"/>
      <c r="B153" s="27"/>
      <c r="C153" s="27"/>
      <c r="D153" s="27"/>
      <c r="E153" s="27"/>
      <c r="F153" s="27"/>
      <c r="G153" s="33"/>
      <c r="H153" s="27"/>
      <c r="I153" s="27"/>
      <c r="K153" s="30"/>
      <c r="L153" s="30"/>
      <c r="M153" s="30"/>
      <c r="N153" s="375"/>
      <c r="O153" s="375"/>
    </row>
    <row r="154" spans="1:15" s="29" customFormat="1">
      <c r="A154" s="27"/>
      <c r="B154" s="27"/>
      <c r="C154" s="27"/>
      <c r="D154" s="27"/>
      <c r="E154" s="27"/>
      <c r="F154" s="27"/>
      <c r="G154" s="33"/>
      <c r="H154" s="27"/>
      <c r="I154" s="27"/>
      <c r="K154" s="30"/>
      <c r="L154" s="30"/>
      <c r="M154" s="30"/>
      <c r="N154" s="375"/>
      <c r="O154" s="375"/>
    </row>
    <row r="155" spans="1:15" s="29" customFormat="1">
      <c r="A155" s="27"/>
      <c r="B155" s="27"/>
      <c r="C155" s="27"/>
      <c r="D155" s="27"/>
      <c r="E155" s="27"/>
      <c r="F155" s="27"/>
      <c r="G155" s="33"/>
      <c r="H155" s="27"/>
      <c r="I155" s="27"/>
      <c r="K155" s="30"/>
      <c r="L155" s="30"/>
      <c r="M155" s="30"/>
      <c r="N155" s="375"/>
      <c r="O155" s="375"/>
    </row>
    <row r="156" spans="1:15" s="29" customFormat="1">
      <c r="A156" s="27"/>
      <c r="B156" s="27"/>
      <c r="C156" s="27"/>
      <c r="D156" s="27"/>
      <c r="E156" s="27"/>
      <c r="F156" s="27"/>
      <c r="G156" s="33"/>
      <c r="H156" s="27"/>
      <c r="I156" s="27"/>
      <c r="K156" s="30"/>
      <c r="L156" s="30"/>
      <c r="M156" s="30"/>
      <c r="N156" s="375"/>
      <c r="O156" s="375"/>
    </row>
    <row r="157" spans="1:15" s="29" customFormat="1">
      <c r="A157" s="27"/>
      <c r="B157" s="27"/>
      <c r="C157" s="27"/>
      <c r="D157" s="27"/>
      <c r="E157" s="27"/>
      <c r="F157" s="27"/>
      <c r="G157" s="33"/>
      <c r="H157" s="27"/>
      <c r="I157" s="27"/>
      <c r="K157" s="30"/>
      <c r="L157" s="30"/>
      <c r="M157" s="30"/>
      <c r="N157" s="375"/>
      <c r="O157" s="375"/>
    </row>
    <row r="158" spans="1:15" s="29" customFormat="1">
      <c r="A158" s="27"/>
      <c r="B158" s="27"/>
      <c r="C158" s="27"/>
      <c r="D158" s="27"/>
      <c r="E158" s="27"/>
      <c r="F158" s="27"/>
      <c r="G158" s="33"/>
      <c r="H158" s="27"/>
      <c r="I158" s="27"/>
      <c r="K158" s="30"/>
      <c r="L158" s="30"/>
      <c r="M158" s="30"/>
      <c r="N158" s="375"/>
      <c r="O158" s="375"/>
    </row>
    <row r="159" spans="1:15" s="29" customFormat="1">
      <c r="A159" s="27"/>
      <c r="B159" s="27"/>
      <c r="C159" s="27"/>
      <c r="D159" s="27"/>
      <c r="E159" s="27"/>
      <c r="F159" s="27"/>
      <c r="G159" s="33"/>
      <c r="H159" s="27"/>
      <c r="I159" s="27"/>
      <c r="K159" s="30"/>
      <c r="L159" s="30"/>
      <c r="M159" s="30"/>
      <c r="N159" s="375"/>
      <c r="O159" s="375"/>
    </row>
    <row r="160" spans="1:15" s="29" customFormat="1">
      <c r="A160" s="27"/>
      <c r="B160" s="27"/>
      <c r="C160" s="27"/>
      <c r="D160" s="27"/>
      <c r="E160" s="27"/>
      <c r="F160" s="27"/>
      <c r="G160" s="33"/>
      <c r="H160" s="27"/>
      <c r="I160" s="27"/>
      <c r="K160" s="30"/>
      <c r="L160" s="30"/>
      <c r="M160" s="30"/>
      <c r="N160" s="375"/>
      <c r="O160" s="375"/>
    </row>
    <row r="161" spans="1:15" s="29" customFormat="1">
      <c r="A161" s="27"/>
      <c r="B161" s="27"/>
      <c r="C161" s="27"/>
      <c r="D161" s="27"/>
      <c r="E161" s="27"/>
      <c r="F161" s="27"/>
      <c r="G161" s="33"/>
      <c r="H161" s="27"/>
      <c r="I161" s="27"/>
      <c r="K161" s="30"/>
      <c r="L161" s="30"/>
      <c r="M161" s="30"/>
      <c r="N161" s="375"/>
      <c r="O161" s="375"/>
    </row>
    <row r="162" spans="1:15" s="29" customFormat="1">
      <c r="A162" s="27"/>
      <c r="B162" s="27"/>
      <c r="C162" s="27"/>
      <c r="D162" s="27"/>
      <c r="E162" s="27"/>
      <c r="F162" s="27"/>
      <c r="G162" s="33"/>
      <c r="H162" s="27"/>
      <c r="I162" s="27"/>
      <c r="K162" s="30"/>
      <c r="L162" s="30"/>
      <c r="M162" s="30"/>
      <c r="N162" s="375"/>
      <c r="O162" s="375"/>
    </row>
    <row r="163" spans="1:15" s="29" customFormat="1">
      <c r="A163" s="27"/>
      <c r="B163" s="27"/>
      <c r="C163" s="27"/>
      <c r="D163" s="27"/>
      <c r="E163" s="27"/>
      <c r="F163" s="27"/>
      <c r="G163" s="33"/>
      <c r="H163" s="27"/>
      <c r="I163" s="27"/>
      <c r="K163" s="30"/>
      <c r="L163" s="30"/>
      <c r="M163" s="30"/>
      <c r="N163" s="375"/>
      <c r="O163" s="375"/>
    </row>
    <row r="164" spans="1:15" s="29" customFormat="1">
      <c r="A164" s="27"/>
      <c r="B164" s="27"/>
      <c r="C164" s="27"/>
      <c r="D164" s="27"/>
      <c r="E164" s="27"/>
      <c r="F164" s="27"/>
      <c r="G164" s="33"/>
      <c r="H164" s="27"/>
      <c r="I164" s="27"/>
      <c r="K164" s="30"/>
      <c r="L164" s="30"/>
      <c r="M164" s="30"/>
      <c r="N164" s="375"/>
      <c r="O164" s="375"/>
    </row>
    <row r="165" spans="1:15" s="29" customFormat="1">
      <c r="A165" s="27"/>
      <c r="B165" s="27"/>
      <c r="C165" s="27"/>
      <c r="D165" s="27"/>
      <c r="E165" s="27"/>
      <c r="F165" s="27"/>
      <c r="G165" s="33"/>
      <c r="H165" s="27"/>
      <c r="I165" s="27"/>
      <c r="K165" s="30"/>
      <c r="L165" s="30"/>
      <c r="M165" s="30"/>
      <c r="N165" s="375"/>
      <c r="O165" s="375"/>
    </row>
    <row r="166" spans="1:15" s="29" customFormat="1">
      <c r="A166" s="27"/>
      <c r="B166" s="27"/>
      <c r="C166" s="27"/>
      <c r="D166" s="27"/>
      <c r="E166" s="27"/>
      <c r="F166" s="27"/>
      <c r="G166" s="33"/>
      <c r="H166" s="27"/>
      <c r="I166" s="27"/>
      <c r="K166" s="30"/>
      <c r="L166" s="30"/>
      <c r="M166" s="30"/>
      <c r="N166" s="375"/>
      <c r="O166" s="375"/>
    </row>
    <row r="167" spans="1:15" s="29" customFormat="1">
      <c r="A167" s="27"/>
      <c r="B167" s="27"/>
      <c r="C167" s="27"/>
      <c r="D167" s="27"/>
      <c r="E167" s="27"/>
      <c r="F167" s="27"/>
      <c r="G167" s="33"/>
      <c r="H167" s="27"/>
      <c r="I167" s="27"/>
      <c r="K167" s="30"/>
      <c r="L167" s="30"/>
      <c r="M167" s="30"/>
      <c r="N167" s="375"/>
      <c r="O167" s="375"/>
    </row>
    <row r="168" spans="1:15" s="29" customFormat="1">
      <c r="A168" s="27"/>
      <c r="B168" s="27"/>
      <c r="C168" s="27"/>
      <c r="D168" s="27"/>
      <c r="E168" s="27"/>
      <c r="F168" s="27"/>
      <c r="G168" s="33"/>
      <c r="H168" s="27"/>
      <c r="I168" s="27"/>
      <c r="K168" s="30"/>
      <c r="L168" s="30"/>
      <c r="M168" s="30"/>
      <c r="N168" s="375"/>
      <c r="O168" s="375"/>
    </row>
    <row r="169" spans="1:15" s="29" customFormat="1">
      <c r="A169" s="27"/>
      <c r="B169" s="27"/>
      <c r="C169" s="27"/>
      <c r="D169" s="27"/>
      <c r="E169" s="27"/>
      <c r="F169" s="27"/>
      <c r="G169" s="33"/>
      <c r="H169" s="27"/>
      <c r="I169" s="27"/>
      <c r="K169" s="30"/>
      <c r="L169" s="30"/>
      <c r="M169" s="30"/>
      <c r="N169" s="375"/>
      <c r="O169" s="375"/>
    </row>
    <row r="170" spans="1:15" s="29" customFormat="1">
      <c r="A170" s="27"/>
      <c r="B170" s="27"/>
      <c r="C170" s="27"/>
      <c r="D170" s="27"/>
      <c r="E170" s="27"/>
      <c r="F170" s="27"/>
      <c r="G170" s="33"/>
      <c r="H170" s="27"/>
      <c r="I170" s="27"/>
      <c r="K170" s="30"/>
      <c r="L170" s="30"/>
      <c r="M170" s="30"/>
      <c r="N170" s="375"/>
      <c r="O170" s="375"/>
    </row>
    <row r="171" spans="1:15" s="29" customFormat="1">
      <c r="A171" s="27"/>
      <c r="B171" s="27"/>
      <c r="C171" s="27"/>
      <c r="D171" s="27"/>
      <c r="E171" s="27"/>
      <c r="F171" s="27"/>
      <c r="G171" s="33"/>
      <c r="H171" s="27"/>
      <c r="I171" s="27"/>
      <c r="K171" s="30"/>
      <c r="L171" s="30"/>
      <c r="M171" s="30"/>
      <c r="N171" s="375"/>
      <c r="O171" s="375"/>
    </row>
    <row r="172" spans="1:15" s="29" customFormat="1">
      <c r="A172" s="27"/>
      <c r="B172" s="27"/>
      <c r="C172" s="27"/>
      <c r="D172" s="27"/>
      <c r="E172" s="27"/>
      <c r="F172" s="27"/>
      <c r="G172" s="33"/>
      <c r="H172" s="27"/>
      <c r="I172" s="27"/>
      <c r="K172" s="30"/>
      <c r="L172" s="30"/>
      <c r="M172" s="30"/>
      <c r="N172" s="375"/>
      <c r="O172" s="375"/>
    </row>
    <row r="173" spans="1:15" s="29" customFormat="1">
      <c r="A173" s="27"/>
      <c r="B173" s="27"/>
      <c r="C173" s="27"/>
      <c r="D173" s="27"/>
      <c r="E173" s="27"/>
      <c r="F173" s="27"/>
      <c r="G173" s="33"/>
      <c r="H173" s="27"/>
      <c r="I173" s="27"/>
      <c r="K173" s="30"/>
      <c r="L173" s="30"/>
      <c r="M173" s="30"/>
      <c r="N173" s="375"/>
      <c r="O173" s="375"/>
    </row>
    <row r="174" spans="1:15" s="29" customFormat="1">
      <c r="A174" s="27"/>
      <c r="B174" s="27"/>
      <c r="C174" s="27"/>
      <c r="D174" s="27"/>
      <c r="E174" s="27"/>
      <c r="F174" s="27"/>
      <c r="G174" s="33"/>
      <c r="H174" s="27"/>
      <c r="I174" s="27"/>
      <c r="K174" s="30"/>
      <c r="L174" s="30"/>
      <c r="M174" s="30"/>
      <c r="N174" s="375"/>
      <c r="O174" s="375"/>
    </row>
    <row r="175" spans="1:15" s="29" customFormat="1">
      <c r="A175" s="27"/>
      <c r="B175" s="27"/>
      <c r="C175" s="27"/>
      <c r="D175" s="27"/>
      <c r="E175" s="27"/>
      <c r="F175" s="27"/>
      <c r="G175" s="33"/>
      <c r="H175" s="27"/>
      <c r="I175" s="27"/>
      <c r="K175" s="30"/>
      <c r="L175" s="30"/>
      <c r="M175" s="30"/>
      <c r="N175" s="375"/>
      <c r="O175" s="375"/>
    </row>
    <row r="176" spans="1:15" s="29" customFormat="1">
      <c r="A176" s="27"/>
      <c r="B176" s="27"/>
      <c r="C176" s="27"/>
      <c r="D176" s="27"/>
      <c r="E176" s="27"/>
      <c r="F176" s="27"/>
      <c r="G176" s="33"/>
      <c r="H176" s="27"/>
      <c r="I176" s="27"/>
      <c r="K176" s="30"/>
      <c r="L176" s="30"/>
      <c r="M176" s="30"/>
      <c r="N176" s="375"/>
      <c r="O176" s="375"/>
    </row>
    <row r="177" spans="1:15" s="29" customFormat="1">
      <c r="A177" s="27"/>
      <c r="B177" s="27"/>
      <c r="C177" s="27"/>
      <c r="D177" s="27"/>
      <c r="E177" s="27"/>
      <c r="F177" s="27"/>
      <c r="G177" s="33"/>
      <c r="H177" s="27"/>
      <c r="I177" s="27"/>
      <c r="K177" s="30"/>
      <c r="L177" s="30"/>
      <c r="M177" s="30"/>
      <c r="N177" s="375"/>
      <c r="O177" s="375"/>
    </row>
    <row r="178" spans="1:15" s="29" customFormat="1">
      <c r="A178" s="27"/>
      <c r="B178" s="27"/>
      <c r="C178" s="27"/>
      <c r="D178" s="27"/>
      <c r="E178" s="27"/>
      <c r="F178" s="27"/>
      <c r="G178" s="33"/>
      <c r="H178" s="27"/>
      <c r="I178" s="27"/>
      <c r="K178" s="30"/>
      <c r="L178" s="30"/>
      <c r="M178" s="30"/>
      <c r="N178" s="375"/>
      <c r="O178" s="375"/>
    </row>
    <row r="179" spans="1:15" s="29" customFormat="1">
      <c r="A179" s="27"/>
      <c r="B179" s="27"/>
      <c r="C179" s="27"/>
      <c r="D179" s="27"/>
      <c r="E179" s="27"/>
      <c r="F179" s="27"/>
      <c r="G179" s="33"/>
      <c r="H179" s="27"/>
      <c r="I179" s="27"/>
      <c r="K179" s="30"/>
      <c r="L179" s="30"/>
      <c r="M179" s="30"/>
      <c r="N179" s="375"/>
      <c r="O179" s="375"/>
    </row>
    <row r="180" spans="1:15" s="29" customFormat="1">
      <c r="A180" s="27"/>
      <c r="B180" s="27"/>
      <c r="C180" s="27"/>
      <c r="D180" s="27"/>
      <c r="E180" s="27"/>
      <c r="F180" s="27"/>
      <c r="G180" s="33"/>
      <c r="H180" s="27"/>
      <c r="I180" s="27"/>
      <c r="K180" s="30"/>
      <c r="L180" s="30"/>
      <c r="M180" s="30"/>
      <c r="N180" s="375"/>
      <c r="O180" s="375"/>
    </row>
    <row r="181" spans="1:15" s="29" customFormat="1">
      <c r="A181" s="27"/>
      <c r="B181" s="27"/>
      <c r="C181" s="27"/>
      <c r="D181" s="27"/>
      <c r="E181" s="27"/>
      <c r="F181" s="27"/>
      <c r="G181" s="33"/>
      <c r="H181" s="27"/>
      <c r="I181" s="27"/>
      <c r="K181" s="30"/>
      <c r="L181" s="30"/>
      <c r="M181" s="30"/>
      <c r="N181" s="375"/>
      <c r="O181" s="375"/>
    </row>
    <row r="182" spans="1:15" s="29" customFormat="1">
      <c r="A182" s="27"/>
      <c r="B182" s="27"/>
      <c r="C182" s="27"/>
      <c r="D182" s="27"/>
      <c r="E182" s="27"/>
      <c r="F182" s="27"/>
      <c r="G182" s="33"/>
      <c r="H182" s="27"/>
      <c r="I182" s="27"/>
      <c r="K182" s="30"/>
      <c r="L182" s="30"/>
      <c r="M182" s="30"/>
      <c r="N182" s="375"/>
      <c r="O182" s="375"/>
    </row>
    <row r="183" spans="1:15" s="29" customFormat="1">
      <c r="A183" s="27"/>
      <c r="B183" s="27"/>
      <c r="C183" s="27"/>
      <c r="D183" s="27"/>
      <c r="E183" s="27"/>
      <c r="F183" s="27"/>
      <c r="G183" s="33"/>
      <c r="H183" s="27"/>
      <c r="I183" s="27"/>
      <c r="K183" s="30"/>
      <c r="L183" s="30"/>
      <c r="M183" s="30"/>
      <c r="N183" s="375"/>
      <c r="O183" s="375"/>
    </row>
    <row r="184" spans="1:15" s="29" customFormat="1">
      <c r="A184" s="27"/>
      <c r="B184" s="27"/>
      <c r="C184" s="27"/>
      <c r="D184" s="27"/>
      <c r="E184" s="27"/>
      <c r="F184" s="27"/>
      <c r="G184" s="33"/>
      <c r="H184" s="27"/>
      <c r="I184" s="27"/>
      <c r="K184" s="30"/>
      <c r="L184" s="30"/>
      <c r="M184" s="30"/>
      <c r="N184" s="375"/>
      <c r="O184" s="375"/>
    </row>
    <row r="185" spans="1:15" s="29" customFormat="1">
      <c r="A185" s="27"/>
      <c r="B185" s="27"/>
      <c r="C185" s="27"/>
      <c r="D185" s="27"/>
      <c r="E185" s="27"/>
      <c r="F185" s="27"/>
      <c r="G185" s="33"/>
      <c r="H185" s="27"/>
      <c r="I185" s="27"/>
      <c r="K185" s="30"/>
      <c r="L185" s="30"/>
      <c r="M185" s="30"/>
      <c r="N185" s="375"/>
      <c r="O185" s="375"/>
    </row>
    <row r="186" spans="1:15" s="29" customFormat="1">
      <c r="A186" s="27"/>
      <c r="B186" s="27"/>
      <c r="C186" s="27"/>
      <c r="D186" s="27"/>
      <c r="E186" s="27"/>
      <c r="F186" s="27"/>
      <c r="G186" s="33"/>
      <c r="H186" s="27"/>
      <c r="I186" s="27"/>
      <c r="K186" s="30"/>
      <c r="L186" s="30"/>
      <c r="M186" s="30"/>
      <c r="N186" s="375"/>
      <c r="O186" s="375"/>
    </row>
    <row r="187" spans="1:15" s="29" customFormat="1">
      <c r="A187" s="27"/>
      <c r="B187" s="27"/>
      <c r="C187" s="27"/>
      <c r="D187" s="27"/>
      <c r="E187" s="27"/>
      <c r="F187" s="27"/>
      <c r="G187" s="33"/>
      <c r="H187" s="27"/>
      <c r="I187" s="27"/>
      <c r="K187" s="30"/>
      <c r="L187" s="30"/>
      <c r="M187" s="30"/>
      <c r="N187" s="375"/>
      <c r="O187" s="375"/>
    </row>
    <row r="188" spans="1:15" s="29" customFormat="1">
      <c r="A188" s="27"/>
      <c r="B188" s="27"/>
      <c r="C188" s="27"/>
      <c r="D188" s="27"/>
      <c r="E188" s="27"/>
      <c r="F188" s="27"/>
      <c r="G188" s="33"/>
      <c r="H188" s="27"/>
      <c r="I188" s="27"/>
      <c r="K188" s="30"/>
      <c r="L188" s="30"/>
      <c r="M188" s="30"/>
      <c r="N188" s="375"/>
      <c r="O188" s="375"/>
    </row>
    <row r="189" spans="1:15" s="29" customFormat="1">
      <c r="A189" s="27"/>
      <c r="B189" s="27"/>
      <c r="C189" s="27"/>
      <c r="D189" s="27"/>
      <c r="E189" s="27"/>
      <c r="F189" s="27"/>
      <c r="G189" s="33"/>
      <c r="H189" s="27"/>
      <c r="I189" s="27"/>
      <c r="K189" s="30"/>
      <c r="L189" s="30"/>
      <c r="M189" s="30"/>
      <c r="N189" s="375"/>
      <c r="O189" s="375"/>
    </row>
    <row r="190" spans="1:15" s="29" customFormat="1">
      <c r="A190" s="27"/>
      <c r="B190" s="27"/>
      <c r="C190" s="27"/>
      <c r="D190" s="27"/>
      <c r="E190" s="27"/>
      <c r="F190" s="27"/>
      <c r="G190" s="33"/>
      <c r="H190" s="27"/>
      <c r="I190" s="27"/>
      <c r="K190" s="30"/>
      <c r="L190" s="30"/>
      <c r="M190" s="30"/>
      <c r="N190" s="375"/>
      <c r="O190" s="375"/>
    </row>
    <row r="191" spans="1:15" s="29" customFormat="1">
      <c r="A191" s="27"/>
      <c r="B191" s="27"/>
      <c r="C191" s="27"/>
      <c r="D191" s="27"/>
      <c r="E191" s="27"/>
      <c r="F191" s="27"/>
      <c r="G191" s="33"/>
      <c r="H191" s="27"/>
      <c r="I191" s="27"/>
      <c r="K191" s="30"/>
      <c r="L191" s="30"/>
      <c r="M191" s="30"/>
      <c r="N191" s="375"/>
      <c r="O191" s="375"/>
    </row>
    <row r="192" spans="1:15" s="29" customFormat="1">
      <c r="A192" s="27"/>
      <c r="B192" s="27"/>
      <c r="C192" s="27"/>
      <c r="D192" s="27"/>
      <c r="E192" s="27"/>
      <c r="F192" s="27"/>
      <c r="G192" s="33"/>
      <c r="H192" s="27"/>
      <c r="I192" s="27"/>
      <c r="K192" s="30"/>
      <c r="L192" s="30"/>
      <c r="M192" s="30"/>
      <c r="N192" s="375"/>
      <c r="O192" s="375"/>
    </row>
    <row r="193" spans="1:15" s="29" customFormat="1">
      <c r="A193" s="27"/>
      <c r="B193" s="27"/>
      <c r="C193" s="27"/>
      <c r="D193" s="27"/>
      <c r="E193" s="27"/>
      <c r="F193" s="27"/>
      <c r="G193" s="33"/>
      <c r="H193" s="27"/>
      <c r="I193" s="27"/>
      <c r="K193" s="30"/>
      <c r="L193" s="30"/>
      <c r="M193" s="30"/>
      <c r="N193" s="375"/>
      <c r="O193" s="375"/>
    </row>
    <row r="194" spans="1:15" s="29" customFormat="1">
      <c r="A194" s="27"/>
      <c r="B194" s="27"/>
      <c r="C194" s="27"/>
      <c r="D194" s="27"/>
      <c r="E194" s="27"/>
      <c r="F194" s="27"/>
      <c r="G194" s="33"/>
      <c r="H194" s="27"/>
      <c r="I194" s="27"/>
      <c r="K194" s="30"/>
      <c r="L194" s="30"/>
      <c r="M194" s="30"/>
      <c r="N194" s="375"/>
      <c r="O194" s="375"/>
    </row>
    <row r="195" spans="1:15" s="29" customFormat="1">
      <c r="A195" s="27"/>
      <c r="B195" s="27"/>
      <c r="C195" s="27"/>
      <c r="D195" s="27"/>
      <c r="E195" s="27"/>
      <c r="F195" s="27"/>
      <c r="G195" s="33"/>
      <c r="H195" s="27"/>
      <c r="I195" s="27"/>
      <c r="K195" s="30"/>
      <c r="L195" s="30"/>
      <c r="M195" s="30"/>
      <c r="N195" s="375"/>
      <c r="O195" s="375"/>
    </row>
    <row r="196" spans="1:15" s="29" customFormat="1">
      <c r="A196" s="27"/>
      <c r="B196" s="27"/>
      <c r="C196" s="27"/>
      <c r="D196" s="27"/>
      <c r="E196" s="27"/>
      <c r="F196" s="27"/>
      <c r="G196" s="33"/>
      <c r="H196" s="27"/>
      <c r="I196" s="27"/>
      <c r="K196" s="30"/>
      <c r="L196" s="30"/>
      <c r="M196" s="30"/>
      <c r="N196" s="375"/>
      <c r="O196" s="375"/>
    </row>
    <row r="197" spans="1:15" s="29" customFormat="1">
      <c r="A197" s="27"/>
      <c r="B197" s="27"/>
      <c r="C197" s="27"/>
      <c r="D197" s="27"/>
      <c r="E197" s="27"/>
      <c r="F197" s="27"/>
      <c r="G197" s="33"/>
      <c r="H197" s="27"/>
      <c r="I197" s="27"/>
      <c r="K197" s="30"/>
      <c r="L197" s="30"/>
      <c r="M197" s="30"/>
      <c r="N197" s="375"/>
      <c r="O197" s="375"/>
    </row>
    <row r="198" spans="1:15" s="29" customFormat="1">
      <c r="A198" s="27"/>
      <c r="B198" s="27"/>
      <c r="C198" s="27"/>
      <c r="D198" s="27"/>
      <c r="E198" s="27"/>
      <c r="F198" s="27"/>
      <c r="G198" s="33"/>
      <c r="H198" s="27"/>
      <c r="I198" s="27"/>
      <c r="K198" s="30"/>
      <c r="L198" s="30"/>
      <c r="M198" s="30"/>
      <c r="N198" s="375"/>
      <c r="O198" s="375"/>
    </row>
    <row r="199" spans="1:15" s="29" customFormat="1">
      <c r="A199" s="27"/>
      <c r="B199" s="27"/>
      <c r="C199" s="27"/>
      <c r="D199" s="27"/>
      <c r="E199" s="27"/>
      <c r="F199" s="27"/>
      <c r="G199" s="33"/>
      <c r="H199" s="27"/>
      <c r="I199" s="27"/>
      <c r="K199" s="30"/>
      <c r="L199" s="30"/>
      <c r="M199" s="30"/>
      <c r="N199" s="375"/>
      <c r="O199" s="375"/>
    </row>
    <row r="200" spans="1:15" s="29" customFormat="1">
      <c r="A200" s="27"/>
      <c r="B200" s="27"/>
      <c r="C200" s="27"/>
      <c r="D200" s="27"/>
      <c r="E200" s="27"/>
      <c r="F200" s="27"/>
      <c r="G200" s="33"/>
      <c r="H200" s="27"/>
      <c r="I200" s="27"/>
      <c r="K200" s="30"/>
      <c r="L200" s="30"/>
      <c r="M200" s="30"/>
      <c r="N200" s="375"/>
      <c r="O200" s="375"/>
    </row>
    <row r="201" spans="1:15" s="29" customFormat="1">
      <c r="A201" s="27"/>
      <c r="B201" s="27"/>
      <c r="C201" s="27"/>
      <c r="D201" s="27"/>
      <c r="E201" s="27"/>
      <c r="F201" s="27"/>
      <c r="G201" s="33"/>
      <c r="H201" s="27"/>
      <c r="I201" s="27"/>
      <c r="K201" s="30"/>
      <c r="L201" s="30"/>
      <c r="M201" s="30"/>
      <c r="N201" s="375"/>
      <c r="O201" s="375"/>
    </row>
    <row r="202" spans="1:15" s="29" customFormat="1">
      <c r="A202" s="27"/>
      <c r="B202" s="27"/>
      <c r="C202" s="27"/>
      <c r="D202" s="27"/>
      <c r="E202" s="27"/>
      <c r="F202" s="27"/>
      <c r="G202" s="33"/>
      <c r="H202" s="27"/>
      <c r="I202" s="27"/>
      <c r="K202" s="30"/>
      <c r="L202" s="30"/>
      <c r="M202" s="30"/>
      <c r="N202" s="375"/>
      <c r="O202" s="375"/>
    </row>
    <row r="203" spans="1:15" s="29" customFormat="1">
      <c r="A203" s="27"/>
      <c r="B203" s="27"/>
      <c r="C203" s="27"/>
      <c r="D203" s="27"/>
      <c r="E203" s="27"/>
      <c r="F203" s="27"/>
      <c r="G203" s="33"/>
      <c r="H203" s="27"/>
      <c r="I203" s="27"/>
      <c r="K203" s="30"/>
      <c r="L203" s="30"/>
      <c r="M203" s="30"/>
      <c r="N203" s="375"/>
      <c r="O203" s="375"/>
    </row>
    <row r="204" spans="1:15" s="29" customFormat="1">
      <c r="A204" s="27"/>
      <c r="B204" s="27"/>
      <c r="C204" s="27"/>
      <c r="D204" s="27"/>
      <c r="E204" s="27"/>
      <c r="F204" s="27"/>
      <c r="G204" s="33"/>
      <c r="H204" s="27"/>
      <c r="I204" s="27"/>
      <c r="K204" s="30"/>
      <c r="L204" s="30"/>
      <c r="M204" s="30"/>
      <c r="N204" s="375"/>
      <c r="O204" s="375"/>
    </row>
    <row r="205" spans="1:15" s="29" customFormat="1">
      <c r="A205" s="27"/>
      <c r="B205" s="27"/>
      <c r="C205" s="27"/>
      <c r="D205" s="27"/>
      <c r="E205" s="27"/>
      <c r="F205" s="27"/>
      <c r="G205" s="33"/>
      <c r="H205" s="27"/>
      <c r="I205" s="27"/>
      <c r="K205" s="30"/>
      <c r="L205" s="30"/>
      <c r="M205" s="30"/>
      <c r="N205" s="375"/>
      <c r="O205" s="375"/>
    </row>
    <row r="206" spans="1:15" s="29" customFormat="1">
      <c r="A206" s="27"/>
      <c r="B206" s="27"/>
      <c r="C206" s="27"/>
      <c r="D206" s="27"/>
      <c r="E206" s="27"/>
      <c r="F206" s="27"/>
      <c r="G206" s="33"/>
      <c r="H206" s="27"/>
      <c r="I206" s="27"/>
      <c r="K206" s="30"/>
      <c r="L206" s="30"/>
      <c r="M206" s="30"/>
      <c r="N206" s="375"/>
      <c r="O206" s="375"/>
    </row>
    <row r="207" spans="1:15" s="29" customFormat="1">
      <c r="A207" s="27"/>
      <c r="B207" s="27"/>
      <c r="C207" s="27"/>
      <c r="D207" s="27"/>
      <c r="E207" s="27"/>
      <c r="F207" s="27"/>
      <c r="G207" s="33"/>
      <c r="H207" s="27"/>
      <c r="I207" s="27"/>
      <c r="K207" s="30"/>
      <c r="L207" s="30"/>
      <c r="M207" s="30"/>
      <c r="N207" s="375"/>
      <c r="O207" s="375"/>
    </row>
    <row r="208" spans="1:15" s="29" customFormat="1">
      <c r="A208" s="27"/>
      <c r="B208" s="27"/>
      <c r="C208" s="27"/>
      <c r="D208" s="27"/>
      <c r="E208" s="27"/>
      <c r="F208" s="27"/>
      <c r="G208" s="33"/>
      <c r="H208" s="27"/>
      <c r="I208" s="27"/>
      <c r="K208" s="30"/>
      <c r="L208" s="30"/>
      <c r="M208" s="30"/>
      <c r="N208" s="375"/>
      <c r="O208" s="375"/>
    </row>
    <row r="209" spans="1:15" s="29" customFormat="1">
      <c r="A209" s="27"/>
      <c r="B209" s="27"/>
      <c r="C209" s="27"/>
      <c r="D209" s="27"/>
      <c r="E209" s="27"/>
      <c r="F209" s="27"/>
      <c r="G209" s="33"/>
      <c r="H209" s="27"/>
      <c r="I209" s="27"/>
      <c r="K209" s="30"/>
      <c r="L209" s="30"/>
      <c r="M209" s="30"/>
      <c r="N209" s="375"/>
      <c r="O209" s="375"/>
    </row>
    <row r="210" spans="1:15" s="29" customFormat="1">
      <c r="A210" s="27"/>
      <c r="B210" s="27"/>
      <c r="C210" s="27"/>
      <c r="D210" s="27"/>
      <c r="E210" s="27"/>
      <c r="F210" s="27"/>
      <c r="G210" s="33"/>
      <c r="H210" s="27"/>
      <c r="I210" s="27"/>
      <c r="K210" s="30"/>
      <c r="L210" s="30"/>
      <c r="M210" s="30"/>
      <c r="N210" s="375"/>
      <c r="O210" s="375"/>
    </row>
    <row r="211" spans="1:15" s="29" customFormat="1">
      <c r="A211" s="27"/>
      <c r="B211" s="27"/>
      <c r="C211" s="27"/>
      <c r="D211" s="27"/>
      <c r="E211" s="27"/>
      <c r="F211" s="27"/>
      <c r="G211" s="33"/>
      <c r="H211" s="27"/>
      <c r="I211" s="27"/>
      <c r="K211" s="30"/>
      <c r="L211" s="30"/>
      <c r="M211" s="30"/>
      <c r="N211" s="375"/>
      <c r="O211" s="375"/>
    </row>
    <row r="212" spans="1:15" s="29" customFormat="1">
      <c r="A212" s="27"/>
      <c r="B212" s="27"/>
      <c r="C212" s="27"/>
      <c r="D212" s="27"/>
      <c r="E212" s="27"/>
      <c r="F212" s="27"/>
      <c r="G212" s="33"/>
      <c r="H212" s="27"/>
      <c r="I212" s="27"/>
      <c r="K212" s="30"/>
      <c r="L212" s="30"/>
      <c r="M212" s="30"/>
      <c r="N212" s="375"/>
      <c r="O212" s="375"/>
    </row>
    <row r="213" spans="1:15" s="29" customFormat="1">
      <c r="A213" s="27"/>
      <c r="B213" s="27"/>
      <c r="C213" s="27"/>
      <c r="D213" s="27"/>
      <c r="E213" s="27"/>
      <c r="F213" s="27"/>
      <c r="G213" s="33"/>
      <c r="H213" s="27"/>
      <c r="I213" s="27"/>
      <c r="K213" s="30"/>
      <c r="L213" s="30"/>
      <c r="M213" s="30"/>
      <c r="N213" s="375"/>
      <c r="O213" s="375"/>
    </row>
    <row r="214" spans="1:15" s="29" customFormat="1">
      <c r="A214" s="27"/>
      <c r="B214" s="27"/>
      <c r="C214" s="27"/>
      <c r="D214" s="27"/>
      <c r="E214" s="27"/>
      <c r="F214" s="27"/>
      <c r="G214" s="33"/>
      <c r="H214" s="27"/>
      <c r="I214" s="27"/>
      <c r="K214" s="30"/>
      <c r="L214" s="30"/>
      <c r="M214" s="30"/>
      <c r="N214" s="375"/>
      <c r="O214" s="375"/>
    </row>
    <row r="215" spans="1:15" s="29" customFormat="1">
      <c r="A215" s="27"/>
      <c r="B215" s="27"/>
      <c r="C215" s="27"/>
      <c r="D215" s="27"/>
      <c r="E215" s="27"/>
      <c r="F215" s="27"/>
      <c r="G215" s="33"/>
      <c r="H215" s="27"/>
      <c r="I215" s="27"/>
      <c r="K215" s="30"/>
      <c r="L215" s="30"/>
      <c r="M215" s="30"/>
      <c r="N215" s="375"/>
      <c r="O215" s="375"/>
    </row>
    <row r="216" spans="1:15" s="29" customFormat="1">
      <c r="A216" s="27"/>
      <c r="B216" s="27"/>
      <c r="C216" s="27"/>
      <c r="D216" s="27"/>
      <c r="E216" s="27"/>
      <c r="F216" s="27"/>
      <c r="G216" s="33"/>
      <c r="H216" s="27"/>
      <c r="I216" s="27"/>
      <c r="K216" s="30"/>
      <c r="L216" s="30"/>
      <c r="M216" s="30"/>
      <c r="N216" s="375"/>
      <c r="O216" s="375"/>
    </row>
    <row r="217" spans="1:15" s="29" customFormat="1">
      <c r="A217" s="27"/>
      <c r="B217" s="27"/>
      <c r="C217" s="27"/>
      <c r="D217" s="27"/>
      <c r="E217" s="27"/>
      <c r="F217" s="27"/>
      <c r="G217" s="33"/>
      <c r="H217" s="27"/>
      <c r="I217" s="27"/>
      <c r="K217" s="30"/>
      <c r="L217" s="30"/>
      <c r="M217" s="30"/>
      <c r="N217" s="375"/>
      <c r="O217" s="375"/>
    </row>
    <row r="218" spans="1:15" s="29" customFormat="1">
      <c r="A218" s="27"/>
      <c r="B218" s="27"/>
      <c r="C218" s="27"/>
      <c r="D218" s="27"/>
      <c r="E218" s="27"/>
      <c r="F218" s="27"/>
      <c r="G218" s="33"/>
      <c r="H218" s="27"/>
      <c r="I218" s="27"/>
      <c r="K218" s="30"/>
      <c r="L218" s="30"/>
      <c r="M218" s="30"/>
      <c r="N218" s="375"/>
      <c r="O218" s="375"/>
    </row>
    <row r="219" spans="1:15" s="29" customFormat="1">
      <c r="A219" s="27"/>
      <c r="B219" s="27"/>
      <c r="C219" s="27"/>
      <c r="D219" s="27"/>
      <c r="E219" s="27"/>
      <c r="F219" s="27"/>
      <c r="G219" s="33"/>
      <c r="H219" s="27"/>
      <c r="I219" s="27"/>
      <c r="K219" s="30"/>
      <c r="L219" s="30"/>
      <c r="M219" s="30"/>
      <c r="N219" s="375"/>
      <c r="O219" s="375"/>
    </row>
    <row r="220" spans="1:15" s="29" customFormat="1">
      <c r="A220" s="27"/>
      <c r="B220" s="27"/>
      <c r="C220" s="27"/>
      <c r="D220" s="27"/>
      <c r="E220" s="27"/>
      <c r="F220" s="27"/>
      <c r="G220" s="33"/>
      <c r="H220" s="27"/>
      <c r="I220" s="27"/>
      <c r="K220" s="30"/>
      <c r="L220" s="30"/>
      <c r="M220" s="30"/>
      <c r="N220" s="375"/>
      <c r="O220" s="375"/>
    </row>
    <row r="221" spans="1:15" s="29" customFormat="1">
      <c r="A221" s="27"/>
      <c r="B221" s="27"/>
      <c r="C221" s="27"/>
      <c r="D221" s="27"/>
      <c r="E221" s="27"/>
      <c r="F221" s="27"/>
      <c r="G221" s="33"/>
      <c r="H221" s="27"/>
      <c r="I221" s="27"/>
      <c r="K221" s="30"/>
      <c r="L221" s="30"/>
      <c r="M221" s="30"/>
      <c r="N221" s="375"/>
      <c r="O221" s="375"/>
    </row>
    <row r="222" spans="1:15" s="29" customFormat="1">
      <c r="A222" s="27"/>
      <c r="B222" s="27"/>
      <c r="C222" s="27"/>
      <c r="D222" s="27"/>
      <c r="E222" s="27"/>
      <c r="F222" s="27"/>
      <c r="G222" s="33"/>
      <c r="H222" s="27"/>
      <c r="I222" s="27"/>
      <c r="K222" s="30"/>
      <c r="L222" s="30"/>
      <c r="M222" s="30"/>
      <c r="N222" s="375"/>
      <c r="O222" s="375"/>
    </row>
    <row r="223" spans="1:15" s="29" customFormat="1">
      <c r="A223" s="27"/>
      <c r="B223" s="27"/>
      <c r="C223" s="27"/>
      <c r="D223" s="27"/>
      <c r="E223" s="27"/>
      <c r="F223" s="27"/>
      <c r="G223" s="33"/>
      <c r="H223" s="27"/>
      <c r="I223" s="27"/>
      <c r="K223" s="30"/>
      <c r="L223" s="30"/>
      <c r="M223" s="30"/>
      <c r="N223" s="375"/>
      <c r="O223" s="375"/>
    </row>
    <row r="224" spans="1:15" s="29" customFormat="1">
      <c r="A224" s="27"/>
      <c r="B224" s="27"/>
      <c r="C224" s="27"/>
      <c r="D224" s="27"/>
      <c r="E224" s="27"/>
      <c r="F224" s="27"/>
      <c r="G224" s="33"/>
      <c r="H224" s="27"/>
      <c r="I224" s="27"/>
      <c r="K224" s="30"/>
      <c r="L224" s="30"/>
      <c r="M224" s="30"/>
      <c r="N224" s="375"/>
      <c r="O224" s="375"/>
    </row>
    <row r="225" spans="1:15" s="29" customFormat="1">
      <c r="A225" s="27"/>
      <c r="B225" s="27"/>
      <c r="C225" s="27"/>
      <c r="D225" s="27"/>
      <c r="E225" s="27"/>
      <c r="F225" s="27"/>
      <c r="G225" s="33"/>
      <c r="H225" s="27"/>
      <c r="I225" s="27"/>
      <c r="K225" s="30"/>
      <c r="L225" s="30"/>
      <c r="M225" s="30"/>
      <c r="N225" s="375"/>
      <c r="O225" s="375"/>
    </row>
    <row r="226" spans="1:15" s="29" customFormat="1">
      <c r="A226" s="27"/>
      <c r="B226" s="27"/>
      <c r="C226" s="27"/>
      <c r="D226" s="27"/>
      <c r="E226" s="27"/>
      <c r="F226" s="27"/>
      <c r="G226" s="33"/>
      <c r="H226" s="27"/>
      <c r="I226" s="27"/>
      <c r="K226" s="30"/>
      <c r="L226" s="30"/>
      <c r="M226" s="30"/>
      <c r="N226" s="375"/>
      <c r="O226" s="375"/>
    </row>
    <row r="227" spans="1:15" s="29" customFormat="1">
      <c r="A227" s="27"/>
      <c r="B227" s="27"/>
      <c r="C227" s="27"/>
      <c r="D227" s="27"/>
      <c r="E227" s="27"/>
      <c r="F227" s="27"/>
      <c r="G227" s="33"/>
      <c r="H227" s="27"/>
      <c r="I227" s="27"/>
      <c r="K227" s="30"/>
      <c r="L227" s="30"/>
      <c r="M227" s="30"/>
      <c r="N227" s="375"/>
      <c r="O227" s="375"/>
    </row>
    <row r="228" spans="1:15" s="29" customFormat="1">
      <c r="A228" s="27"/>
      <c r="B228" s="27"/>
      <c r="C228" s="27"/>
      <c r="D228" s="27"/>
      <c r="E228" s="27"/>
      <c r="F228" s="27"/>
      <c r="G228" s="33"/>
      <c r="H228" s="27"/>
      <c r="I228" s="27"/>
      <c r="K228" s="30"/>
      <c r="L228" s="30"/>
      <c r="M228" s="30"/>
      <c r="N228" s="375"/>
      <c r="O228" s="375"/>
    </row>
    <row r="229" spans="1:15" s="29" customFormat="1">
      <c r="A229" s="27"/>
      <c r="B229" s="27"/>
      <c r="C229" s="27"/>
      <c r="D229" s="27"/>
      <c r="E229" s="27"/>
      <c r="F229" s="27"/>
      <c r="G229" s="33"/>
      <c r="H229" s="27"/>
      <c r="I229" s="27"/>
      <c r="K229" s="30"/>
      <c r="L229" s="30"/>
      <c r="M229" s="30"/>
      <c r="N229" s="375"/>
      <c r="O229" s="375"/>
    </row>
    <row r="230" spans="1:15" s="29" customFormat="1">
      <c r="A230" s="27"/>
      <c r="B230" s="27"/>
      <c r="C230" s="27"/>
      <c r="D230" s="27"/>
      <c r="E230" s="27"/>
      <c r="F230" s="27"/>
      <c r="G230" s="33"/>
      <c r="H230" s="27"/>
      <c r="I230" s="27"/>
      <c r="K230" s="30"/>
      <c r="L230" s="30"/>
      <c r="M230" s="30"/>
      <c r="N230" s="375"/>
      <c r="O230" s="375"/>
    </row>
    <row r="231" spans="1:15" s="29" customFormat="1">
      <c r="A231" s="27"/>
      <c r="B231" s="27"/>
      <c r="C231" s="27"/>
      <c r="D231" s="27"/>
      <c r="E231" s="27"/>
      <c r="F231" s="27"/>
      <c r="G231" s="33"/>
      <c r="H231" s="27"/>
      <c r="I231" s="27"/>
      <c r="K231" s="30"/>
      <c r="L231" s="30"/>
      <c r="M231" s="30"/>
      <c r="N231" s="375"/>
      <c r="O231" s="375"/>
    </row>
    <row r="232" spans="1:15" s="29" customFormat="1">
      <c r="A232" s="27"/>
      <c r="B232" s="27"/>
      <c r="C232" s="27"/>
      <c r="D232" s="27"/>
      <c r="E232" s="27"/>
      <c r="F232" s="27"/>
      <c r="G232" s="33"/>
      <c r="H232" s="27"/>
      <c r="I232" s="27"/>
      <c r="K232" s="30"/>
      <c r="L232" s="30"/>
      <c r="M232" s="30"/>
      <c r="N232" s="375"/>
      <c r="O232" s="375"/>
    </row>
    <row r="233" spans="1:15" s="29" customFormat="1">
      <c r="A233" s="27"/>
      <c r="B233" s="27"/>
      <c r="C233" s="27"/>
      <c r="D233" s="27"/>
      <c r="E233" s="27"/>
      <c r="F233" s="27"/>
      <c r="G233" s="33"/>
      <c r="H233" s="27"/>
      <c r="I233" s="27"/>
      <c r="K233" s="30"/>
      <c r="L233" s="30"/>
      <c r="M233" s="30"/>
      <c r="N233" s="375"/>
      <c r="O233" s="375"/>
    </row>
    <row r="234" spans="1:15" s="29" customFormat="1">
      <c r="A234" s="27"/>
      <c r="B234" s="27"/>
      <c r="C234" s="27"/>
      <c r="D234" s="27"/>
      <c r="E234" s="27"/>
      <c r="F234" s="27"/>
      <c r="G234" s="33"/>
      <c r="H234" s="27"/>
      <c r="I234" s="27"/>
      <c r="K234" s="30"/>
      <c r="L234" s="30"/>
      <c r="M234" s="30"/>
      <c r="N234" s="375"/>
      <c r="O234" s="375"/>
    </row>
    <row r="235" spans="1:15" s="29" customFormat="1">
      <c r="A235" s="27"/>
      <c r="B235" s="27"/>
      <c r="C235" s="27"/>
      <c r="D235" s="27"/>
      <c r="E235" s="27"/>
      <c r="F235" s="27"/>
      <c r="G235" s="33"/>
      <c r="H235" s="27"/>
      <c r="I235" s="27"/>
      <c r="K235" s="30"/>
      <c r="L235" s="30"/>
      <c r="M235" s="30"/>
      <c r="N235" s="375"/>
      <c r="O235" s="375"/>
    </row>
    <row r="236" spans="1:15" s="29" customFormat="1">
      <c r="A236" s="27"/>
      <c r="B236" s="27"/>
      <c r="C236" s="27"/>
      <c r="D236" s="27"/>
      <c r="E236" s="27"/>
      <c r="F236" s="27"/>
      <c r="G236" s="33"/>
      <c r="H236" s="27"/>
      <c r="I236" s="27"/>
      <c r="K236" s="30"/>
      <c r="L236" s="30"/>
      <c r="M236" s="30"/>
      <c r="N236" s="375"/>
      <c r="O236" s="375"/>
    </row>
    <row r="237" spans="1:15" s="29" customFormat="1">
      <c r="A237" s="27"/>
      <c r="B237" s="27"/>
      <c r="C237" s="27"/>
      <c r="D237" s="27"/>
      <c r="E237" s="27"/>
      <c r="F237" s="27"/>
      <c r="G237" s="33"/>
      <c r="H237" s="27"/>
      <c r="I237" s="27"/>
      <c r="K237" s="30"/>
      <c r="L237" s="30"/>
      <c r="M237" s="30"/>
      <c r="N237" s="375"/>
      <c r="O237" s="375"/>
    </row>
    <row r="238" spans="1:15" s="29" customFormat="1">
      <c r="A238" s="27"/>
      <c r="B238" s="27"/>
      <c r="C238" s="27"/>
      <c r="D238" s="27"/>
      <c r="E238" s="27"/>
      <c r="F238" s="27"/>
      <c r="G238" s="33"/>
      <c r="H238" s="27"/>
      <c r="I238" s="27"/>
      <c r="K238" s="30"/>
      <c r="L238" s="30"/>
      <c r="M238" s="30"/>
      <c r="N238" s="375"/>
      <c r="O238" s="375"/>
    </row>
    <row r="239" spans="1:15" s="29" customFormat="1">
      <c r="A239" s="27"/>
      <c r="B239" s="27"/>
      <c r="C239" s="27"/>
      <c r="D239" s="27"/>
      <c r="E239" s="27"/>
      <c r="F239" s="27"/>
      <c r="G239" s="33"/>
      <c r="H239" s="27"/>
      <c r="I239" s="27"/>
      <c r="K239" s="30"/>
      <c r="L239" s="30"/>
      <c r="M239" s="30"/>
      <c r="N239" s="375"/>
      <c r="O239" s="375"/>
    </row>
    <row r="240" spans="1:15" s="29" customFormat="1">
      <c r="A240" s="27"/>
      <c r="B240" s="27"/>
      <c r="C240" s="27"/>
      <c r="D240" s="27"/>
      <c r="E240" s="27"/>
      <c r="F240" s="27"/>
      <c r="G240" s="33"/>
      <c r="H240" s="27"/>
      <c r="I240" s="27"/>
      <c r="K240" s="30"/>
      <c r="L240" s="30"/>
      <c r="M240" s="30"/>
      <c r="N240" s="375"/>
      <c r="O240" s="375"/>
    </row>
    <row r="241" spans="1:15" s="29" customFormat="1">
      <c r="A241" s="27"/>
      <c r="B241" s="27"/>
      <c r="C241" s="27"/>
      <c r="D241" s="27"/>
      <c r="E241" s="27"/>
      <c r="F241" s="27"/>
      <c r="G241" s="33"/>
      <c r="H241" s="27"/>
      <c r="I241" s="27"/>
      <c r="K241" s="30"/>
      <c r="L241" s="30"/>
      <c r="M241" s="30"/>
      <c r="N241" s="375"/>
      <c r="O241" s="375"/>
    </row>
    <row r="242" spans="1:15" s="29" customFormat="1">
      <c r="A242" s="27"/>
      <c r="B242" s="27"/>
      <c r="C242" s="27"/>
      <c r="D242" s="27"/>
      <c r="E242" s="27"/>
      <c r="F242" s="27"/>
      <c r="G242" s="33"/>
      <c r="H242" s="27"/>
      <c r="I242" s="27"/>
      <c r="K242" s="30"/>
      <c r="L242" s="30"/>
      <c r="M242" s="30"/>
      <c r="N242" s="375"/>
      <c r="O242" s="375"/>
    </row>
    <row r="243" spans="1:15" s="29" customFormat="1">
      <c r="A243" s="27"/>
      <c r="B243" s="27"/>
      <c r="C243" s="27"/>
      <c r="D243" s="27"/>
      <c r="E243" s="27"/>
      <c r="F243" s="27"/>
      <c r="G243" s="33"/>
      <c r="H243" s="27"/>
      <c r="I243" s="27"/>
      <c r="K243" s="30"/>
      <c r="L243" s="30"/>
      <c r="M243" s="30"/>
      <c r="N243" s="375"/>
      <c r="O243" s="375"/>
    </row>
    <row r="244" spans="1:15" s="29" customFormat="1">
      <c r="A244" s="27"/>
      <c r="B244" s="27"/>
      <c r="C244" s="27"/>
      <c r="D244" s="27"/>
      <c r="E244" s="27"/>
      <c r="F244" s="27"/>
      <c r="G244" s="33"/>
      <c r="H244" s="27"/>
      <c r="I244" s="27"/>
      <c r="K244" s="30"/>
      <c r="L244" s="30"/>
      <c r="M244" s="30"/>
      <c r="N244" s="375"/>
      <c r="O244" s="375"/>
    </row>
    <row r="245" spans="1:15" s="29" customFormat="1">
      <c r="A245" s="27"/>
      <c r="B245" s="27"/>
      <c r="C245" s="27"/>
      <c r="D245" s="27"/>
      <c r="E245" s="27"/>
      <c r="F245" s="27"/>
      <c r="G245" s="33"/>
      <c r="H245" s="27"/>
      <c r="I245" s="27"/>
      <c r="K245" s="30"/>
      <c r="L245" s="30"/>
      <c r="M245" s="30"/>
      <c r="N245" s="375"/>
      <c r="O245" s="375"/>
    </row>
    <row r="246" spans="1:15" s="29" customFormat="1">
      <c r="A246" s="27"/>
      <c r="B246" s="27"/>
      <c r="C246" s="27"/>
      <c r="D246" s="27"/>
      <c r="E246" s="27"/>
      <c r="F246" s="27"/>
      <c r="G246" s="33"/>
      <c r="H246" s="27"/>
      <c r="I246" s="27"/>
      <c r="K246" s="30"/>
      <c r="L246" s="30"/>
      <c r="M246" s="30"/>
      <c r="N246" s="375"/>
      <c r="O246" s="375"/>
    </row>
    <row r="247" spans="1:15" s="29" customFormat="1">
      <c r="A247" s="27"/>
      <c r="B247" s="27"/>
      <c r="C247" s="27"/>
      <c r="D247" s="27"/>
      <c r="E247" s="27"/>
      <c r="F247" s="27"/>
      <c r="G247" s="33"/>
      <c r="H247" s="27"/>
      <c r="I247" s="27"/>
      <c r="K247" s="30"/>
      <c r="L247" s="30"/>
      <c r="M247" s="30"/>
      <c r="N247" s="375"/>
      <c r="O247" s="375"/>
    </row>
    <row r="248" spans="1:15" s="29" customFormat="1">
      <c r="A248" s="27"/>
      <c r="B248" s="27"/>
      <c r="C248" s="27"/>
      <c r="D248" s="27"/>
      <c r="E248" s="27"/>
      <c r="F248" s="27"/>
      <c r="G248" s="33"/>
      <c r="H248" s="27"/>
      <c r="I248" s="27"/>
      <c r="K248" s="30"/>
      <c r="L248" s="30"/>
      <c r="M248" s="30"/>
      <c r="N248" s="375"/>
      <c r="O248" s="375"/>
    </row>
    <row r="249" spans="1:15" s="29" customFormat="1">
      <c r="A249" s="27"/>
      <c r="B249" s="27"/>
      <c r="C249" s="27"/>
      <c r="D249" s="27"/>
      <c r="E249" s="27"/>
      <c r="F249" s="27"/>
      <c r="G249" s="33"/>
      <c r="H249" s="27"/>
      <c r="I249" s="27"/>
      <c r="K249" s="30"/>
      <c r="L249" s="30"/>
      <c r="M249" s="30"/>
      <c r="N249" s="375"/>
      <c r="O249" s="375"/>
    </row>
    <row r="250" spans="1:15" s="29" customFormat="1">
      <c r="A250" s="27"/>
      <c r="B250" s="27"/>
      <c r="C250" s="27"/>
      <c r="D250" s="27"/>
      <c r="E250" s="27"/>
      <c r="F250" s="27"/>
      <c r="G250" s="33"/>
      <c r="H250" s="27"/>
      <c r="I250" s="27"/>
      <c r="K250" s="30"/>
      <c r="L250" s="30"/>
      <c r="M250" s="30"/>
      <c r="N250" s="375"/>
      <c r="O250" s="375"/>
    </row>
    <row r="251" spans="1:15" s="29" customFormat="1">
      <c r="A251" s="27"/>
      <c r="B251" s="27"/>
      <c r="C251" s="27"/>
      <c r="D251" s="27"/>
      <c r="E251" s="27"/>
      <c r="F251" s="27"/>
      <c r="G251" s="33"/>
      <c r="H251" s="27"/>
      <c r="I251" s="27"/>
      <c r="K251" s="30"/>
      <c r="L251" s="30"/>
      <c r="M251" s="30"/>
      <c r="N251" s="375"/>
      <c r="O251" s="375"/>
    </row>
    <row r="252" spans="1:15" s="29" customFormat="1">
      <c r="A252" s="27"/>
      <c r="B252" s="27"/>
      <c r="C252" s="27"/>
      <c r="D252" s="27"/>
      <c r="E252" s="27"/>
      <c r="F252" s="27"/>
      <c r="G252" s="33"/>
      <c r="H252" s="27"/>
      <c r="I252" s="27"/>
      <c r="K252" s="30"/>
      <c r="L252" s="30"/>
      <c r="M252" s="30"/>
      <c r="N252" s="375"/>
      <c r="O252" s="375"/>
    </row>
    <row r="253" spans="1:15" s="29" customFormat="1">
      <c r="A253" s="27"/>
      <c r="B253" s="27"/>
      <c r="C253" s="27"/>
      <c r="D253" s="27"/>
      <c r="E253" s="27"/>
      <c r="F253" s="27"/>
      <c r="G253" s="33"/>
      <c r="H253" s="27"/>
      <c r="I253" s="27"/>
      <c r="K253" s="30"/>
      <c r="L253" s="30"/>
      <c r="M253" s="30"/>
      <c r="N253" s="375"/>
      <c r="O253" s="375"/>
    </row>
    <row r="254" spans="1:15" s="29" customFormat="1">
      <c r="A254" s="27"/>
      <c r="B254" s="27"/>
      <c r="C254" s="27"/>
      <c r="D254" s="27"/>
      <c r="E254" s="27"/>
      <c r="F254" s="27"/>
      <c r="G254" s="33"/>
      <c r="H254" s="27"/>
      <c r="I254" s="27"/>
      <c r="K254" s="30"/>
      <c r="L254" s="30"/>
      <c r="M254" s="30"/>
      <c r="N254" s="375"/>
      <c r="O254" s="375"/>
    </row>
    <row r="255" spans="1:15" s="29" customFormat="1">
      <c r="A255" s="27"/>
      <c r="B255" s="27"/>
      <c r="C255" s="27"/>
      <c r="D255" s="27"/>
      <c r="E255" s="27"/>
      <c r="F255" s="27"/>
      <c r="G255" s="33"/>
      <c r="H255" s="27"/>
      <c r="I255" s="27"/>
      <c r="K255" s="30"/>
      <c r="L255" s="30"/>
      <c r="M255" s="30"/>
      <c r="N255" s="375"/>
      <c r="O255" s="375"/>
    </row>
    <row r="256" spans="1:15" s="29" customFormat="1">
      <c r="A256" s="27"/>
      <c r="B256" s="27"/>
      <c r="C256" s="27"/>
      <c r="D256" s="27"/>
      <c r="E256" s="27"/>
      <c r="F256" s="27"/>
      <c r="G256" s="33"/>
      <c r="H256" s="27"/>
      <c r="I256" s="27"/>
      <c r="K256" s="30"/>
      <c r="L256" s="30"/>
      <c r="M256" s="30"/>
      <c r="N256" s="375"/>
      <c r="O256" s="375"/>
    </row>
    <row r="257" spans="1:15" s="29" customFormat="1">
      <c r="A257" s="27"/>
      <c r="B257" s="27"/>
      <c r="C257" s="27"/>
      <c r="D257" s="27"/>
      <c r="E257" s="27"/>
      <c r="F257" s="27"/>
      <c r="G257" s="33"/>
      <c r="H257" s="27"/>
      <c r="I257" s="27"/>
      <c r="K257" s="30"/>
      <c r="L257" s="30"/>
      <c r="M257" s="30"/>
      <c r="N257" s="375"/>
      <c r="O257" s="375"/>
    </row>
    <row r="258" spans="1:15" s="29" customFormat="1">
      <c r="A258" s="27"/>
      <c r="B258" s="27"/>
      <c r="C258" s="27"/>
      <c r="D258" s="27"/>
      <c r="E258" s="27"/>
      <c r="F258" s="27"/>
      <c r="G258" s="33"/>
      <c r="H258" s="27"/>
      <c r="I258" s="27"/>
      <c r="K258" s="30"/>
      <c r="L258" s="30"/>
      <c r="M258" s="30"/>
      <c r="N258" s="375"/>
      <c r="O258" s="375"/>
    </row>
    <row r="259" spans="1:15" s="29" customFormat="1">
      <c r="A259" s="27"/>
      <c r="B259" s="27"/>
      <c r="C259" s="27"/>
      <c r="D259" s="27"/>
      <c r="E259" s="27"/>
      <c r="F259" s="27"/>
      <c r="G259" s="33"/>
      <c r="H259" s="27"/>
      <c r="I259" s="27"/>
      <c r="K259" s="30"/>
      <c r="L259" s="30"/>
      <c r="M259" s="30"/>
      <c r="N259" s="375"/>
      <c r="O259" s="375"/>
    </row>
    <row r="260" spans="1:15" s="29" customFormat="1">
      <c r="A260" s="27"/>
      <c r="B260" s="27"/>
      <c r="C260" s="27"/>
      <c r="D260" s="27"/>
      <c r="E260" s="27"/>
      <c r="F260" s="27"/>
      <c r="G260" s="33"/>
      <c r="H260" s="27"/>
      <c r="I260" s="27"/>
      <c r="K260" s="30"/>
      <c r="L260" s="30"/>
      <c r="M260" s="30"/>
      <c r="N260" s="375"/>
      <c r="O260" s="375"/>
    </row>
    <row r="261" spans="1:15" s="29" customFormat="1">
      <c r="A261" s="27"/>
      <c r="B261" s="27"/>
      <c r="C261" s="27"/>
      <c r="D261" s="27"/>
      <c r="E261" s="27"/>
      <c r="F261" s="27"/>
      <c r="G261" s="33"/>
      <c r="H261" s="27"/>
      <c r="I261" s="27"/>
      <c r="K261" s="30"/>
      <c r="L261" s="30"/>
      <c r="M261" s="30"/>
      <c r="N261" s="375"/>
      <c r="O261" s="375"/>
    </row>
    <row r="262" spans="1:15" s="29" customFormat="1">
      <c r="A262" s="27"/>
      <c r="B262" s="27"/>
      <c r="C262" s="27"/>
      <c r="D262" s="27"/>
      <c r="E262" s="27"/>
      <c r="F262" s="27"/>
      <c r="G262" s="33"/>
      <c r="H262" s="27"/>
      <c r="I262" s="27"/>
      <c r="K262" s="30"/>
      <c r="L262" s="30"/>
      <c r="M262" s="30"/>
      <c r="N262" s="375"/>
      <c r="O262" s="375"/>
    </row>
    <row r="263" spans="1:15" s="29" customFormat="1">
      <c r="A263" s="27"/>
      <c r="B263" s="27"/>
      <c r="C263" s="27"/>
      <c r="D263" s="27"/>
      <c r="E263" s="27"/>
      <c r="F263" s="27"/>
      <c r="G263" s="33"/>
      <c r="H263" s="27"/>
      <c r="I263" s="27"/>
      <c r="K263" s="30"/>
      <c r="L263" s="30"/>
      <c r="M263" s="30"/>
      <c r="N263" s="375"/>
      <c r="O263" s="375"/>
    </row>
    <row r="264" spans="1:15" s="29" customFormat="1">
      <c r="A264" s="27"/>
      <c r="B264" s="27"/>
      <c r="C264" s="27"/>
      <c r="D264" s="27"/>
      <c r="E264" s="27"/>
      <c r="F264" s="27"/>
      <c r="G264" s="33"/>
      <c r="H264" s="27"/>
      <c r="I264" s="27"/>
      <c r="K264" s="30"/>
      <c r="L264" s="30"/>
      <c r="M264" s="30"/>
      <c r="N264" s="375"/>
      <c r="O264" s="375"/>
    </row>
    <row r="265" spans="1:15" s="29" customFormat="1">
      <c r="A265" s="27"/>
      <c r="B265" s="27"/>
      <c r="C265" s="27"/>
      <c r="D265" s="27"/>
      <c r="E265" s="27"/>
      <c r="F265" s="27"/>
      <c r="G265" s="33"/>
      <c r="H265" s="27"/>
      <c r="I265" s="27"/>
      <c r="K265" s="30"/>
      <c r="L265" s="30"/>
      <c r="M265" s="30"/>
      <c r="N265" s="375"/>
      <c r="O265" s="375"/>
    </row>
    <row r="266" spans="1:15" s="29" customFormat="1">
      <c r="A266" s="27"/>
      <c r="B266" s="27"/>
      <c r="C266" s="27"/>
      <c r="D266" s="27"/>
      <c r="E266" s="27"/>
      <c r="F266" s="27"/>
      <c r="G266" s="33"/>
      <c r="H266" s="27"/>
      <c r="I266" s="27"/>
      <c r="K266" s="30"/>
      <c r="L266" s="30"/>
      <c r="M266" s="30"/>
      <c r="N266" s="375"/>
      <c r="O266" s="375"/>
    </row>
    <row r="267" spans="1:15" s="29" customFormat="1">
      <c r="A267" s="27"/>
      <c r="B267" s="27"/>
      <c r="C267" s="27"/>
      <c r="D267" s="27"/>
      <c r="E267" s="27"/>
      <c r="F267" s="27"/>
      <c r="G267" s="33"/>
      <c r="H267" s="27"/>
      <c r="I267" s="27"/>
      <c r="K267" s="30"/>
      <c r="L267" s="30"/>
      <c r="M267" s="30"/>
      <c r="N267" s="375"/>
      <c r="O267" s="375"/>
    </row>
    <row r="268" spans="1:15" s="29" customFormat="1">
      <c r="A268" s="27"/>
      <c r="B268" s="27"/>
      <c r="C268" s="27"/>
      <c r="D268" s="27"/>
      <c r="E268" s="27"/>
      <c r="F268" s="27"/>
      <c r="G268" s="33"/>
      <c r="H268" s="27"/>
      <c r="I268" s="27"/>
      <c r="K268" s="30"/>
      <c r="L268" s="30"/>
      <c r="M268" s="30"/>
      <c r="N268" s="375"/>
      <c r="O268" s="375"/>
    </row>
    <row r="269" spans="1:15" s="29" customFormat="1">
      <c r="A269" s="27"/>
      <c r="B269" s="27"/>
      <c r="C269" s="27"/>
      <c r="D269" s="27"/>
      <c r="E269" s="27"/>
      <c r="F269" s="27"/>
      <c r="G269" s="33"/>
      <c r="H269" s="27"/>
      <c r="I269" s="27"/>
      <c r="K269" s="30"/>
      <c r="L269" s="30"/>
      <c r="M269" s="30"/>
      <c r="N269" s="375"/>
      <c r="O269" s="375"/>
    </row>
    <row r="270" spans="1:15" s="29" customFormat="1">
      <c r="A270" s="27"/>
      <c r="B270" s="27"/>
      <c r="C270" s="27"/>
      <c r="D270" s="27"/>
      <c r="E270" s="27"/>
      <c r="F270" s="27"/>
      <c r="G270" s="33"/>
      <c r="H270" s="27"/>
      <c r="I270" s="27"/>
      <c r="K270" s="30"/>
      <c r="L270" s="30"/>
      <c r="M270" s="30"/>
      <c r="N270" s="375"/>
      <c r="O270" s="375"/>
    </row>
    <row r="271" spans="1:15" s="29" customFormat="1">
      <c r="A271" s="27"/>
      <c r="B271" s="27"/>
      <c r="C271" s="27"/>
      <c r="D271" s="27"/>
      <c r="E271" s="27"/>
      <c r="F271" s="27"/>
      <c r="G271" s="33"/>
      <c r="H271" s="27"/>
      <c r="I271" s="27"/>
      <c r="K271" s="30"/>
      <c r="L271" s="30"/>
      <c r="M271" s="30"/>
      <c r="N271" s="375"/>
      <c r="O271" s="375"/>
    </row>
    <row r="272" spans="1:15" s="29" customFormat="1">
      <c r="A272" s="27"/>
      <c r="B272" s="27"/>
      <c r="C272" s="27"/>
      <c r="D272" s="27"/>
      <c r="E272" s="27"/>
      <c r="F272" s="27"/>
      <c r="G272" s="33"/>
      <c r="H272" s="27"/>
      <c r="I272" s="27"/>
      <c r="K272" s="30"/>
      <c r="L272" s="30"/>
      <c r="M272" s="30"/>
      <c r="N272" s="375"/>
      <c r="O272" s="375"/>
    </row>
    <row r="273" spans="1:15" s="29" customFormat="1">
      <c r="A273" s="27"/>
      <c r="B273" s="27"/>
      <c r="C273" s="27"/>
      <c r="D273" s="27"/>
      <c r="E273" s="27"/>
      <c r="F273" s="27"/>
      <c r="G273" s="33"/>
      <c r="H273" s="27"/>
      <c r="I273" s="27"/>
      <c r="K273" s="30"/>
      <c r="L273" s="30"/>
      <c r="M273" s="30"/>
      <c r="N273" s="375"/>
      <c r="O273" s="375"/>
    </row>
    <row r="274" spans="1:15" s="29" customFormat="1">
      <c r="A274" s="27"/>
      <c r="B274" s="27"/>
      <c r="C274" s="27"/>
      <c r="D274" s="27"/>
      <c r="E274" s="27"/>
      <c r="F274" s="27"/>
      <c r="G274" s="33"/>
      <c r="H274" s="27"/>
      <c r="I274" s="27"/>
      <c r="K274" s="30"/>
      <c r="L274" s="30"/>
      <c r="M274" s="30"/>
      <c r="N274" s="375"/>
      <c r="O274" s="375"/>
    </row>
    <row r="275" spans="1:15" s="29" customFormat="1">
      <c r="A275" s="27"/>
      <c r="B275" s="27"/>
      <c r="C275" s="27"/>
      <c r="D275" s="27"/>
      <c r="E275" s="27"/>
      <c r="F275" s="27"/>
      <c r="G275" s="33"/>
      <c r="H275" s="27"/>
      <c r="I275" s="27"/>
      <c r="K275" s="30"/>
      <c r="L275" s="30"/>
      <c r="M275" s="30"/>
      <c r="N275" s="375"/>
      <c r="O275" s="375"/>
    </row>
    <row r="276" spans="1:15" s="29" customFormat="1">
      <c r="A276" s="27"/>
      <c r="B276" s="27"/>
      <c r="C276" s="27"/>
      <c r="D276" s="27"/>
      <c r="E276" s="27"/>
      <c r="F276" s="27"/>
      <c r="G276" s="33"/>
      <c r="H276" s="27"/>
      <c r="I276" s="27"/>
      <c r="K276" s="30"/>
      <c r="L276" s="30"/>
      <c r="M276" s="30"/>
      <c r="N276" s="375"/>
      <c r="O276" s="375"/>
    </row>
    <row r="277" spans="1:15" s="29" customFormat="1">
      <c r="A277" s="27"/>
      <c r="B277" s="27"/>
      <c r="C277" s="27"/>
      <c r="D277" s="27"/>
      <c r="E277" s="27"/>
      <c r="F277" s="27"/>
      <c r="G277" s="33"/>
      <c r="H277" s="27"/>
      <c r="I277" s="27"/>
      <c r="K277" s="30"/>
      <c r="L277" s="30"/>
      <c r="M277" s="30"/>
      <c r="N277" s="375"/>
      <c r="O277" s="375"/>
    </row>
    <row r="278" spans="1:15" s="29" customFormat="1">
      <c r="A278" s="27"/>
      <c r="B278" s="27"/>
      <c r="C278" s="27"/>
      <c r="D278" s="27"/>
      <c r="E278" s="27"/>
      <c r="F278" s="27"/>
      <c r="G278" s="33"/>
      <c r="H278" s="27"/>
      <c r="I278" s="27"/>
      <c r="K278" s="30"/>
      <c r="L278" s="30"/>
      <c r="M278" s="30"/>
      <c r="N278" s="375"/>
      <c r="O278" s="375"/>
    </row>
    <row r="279" spans="1:15" s="29" customFormat="1">
      <c r="A279" s="27"/>
      <c r="B279" s="27"/>
      <c r="C279" s="27"/>
      <c r="D279" s="27"/>
      <c r="E279" s="27"/>
      <c r="F279" s="27"/>
      <c r="G279" s="33"/>
      <c r="H279" s="27"/>
      <c r="I279" s="27"/>
      <c r="K279" s="30"/>
      <c r="L279" s="30"/>
      <c r="M279" s="30"/>
      <c r="N279" s="375"/>
      <c r="O279" s="375"/>
    </row>
    <row r="280" spans="1:15" s="29" customFormat="1">
      <c r="A280" s="27"/>
      <c r="B280" s="27"/>
      <c r="C280" s="27"/>
      <c r="D280" s="27"/>
      <c r="E280" s="27"/>
      <c r="F280" s="27"/>
      <c r="G280" s="33"/>
      <c r="H280" s="27"/>
      <c r="I280" s="27"/>
      <c r="K280" s="30"/>
      <c r="L280" s="30"/>
      <c r="M280" s="30"/>
      <c r="N280" s="375"/>
      <c r="O280" s="375"/>
    </row>
    <row r="281" spans="1:15" s="29" customFormat="1">
      <c r="A281" s="27"/>
      <c r="B281" s="27"/>
      <c r="C281" s="27"/>
      <c r="D281" s="27"/>
      <c r="E281" s="27"/>
      <c r="F281" s="27"/>
      <c r="G281" s="33"/>
      <c r="H281" s="27"/>
      <c r="I281" s="27"/>
      <c r="K281" s="30"/>
      <c r="L281" s="30"/>
      <c r="M281" s="30"/>
      <c r="N281" s="375"/>
      <c r="O281" s="375"/>
    </row>
    <row r="282" spans="1:15" s="29" customFormat="1">
      <c r="A282" s="27"/>
      <c r="B282" s="27"/>
      <c r="C282" s="27"/>
      <c r="D282" s="27"/>
      <c r="E282" s="27"/>
      <c r="F282" s="27"/>
      <c r="G282" s="33"/>
      <c r="H282" s="27"/>
      <c r="I282" s="27"/>
      <c r="K282" s="30"/>
      <c r="L282" s="30"/>
      <c r="M282" s="30"/>
      <c r="N282" s="375"/>
      <c r="O282" s="375"/>
    </row>
    <row r="283" spans="1:15" s="29" customFormat="1">
      <c r="A283" s="27"/>
      <c r="B283" s="27"/>
      <c r="C283" s="27"/>
      <c r="D283" s="27"/>
      <c r="E283" s="27"/>
      <c r="F283" s="27"/>
      <c r="G283" s="33"/>
      <c r="H283" s="27"/>
      <c r="I283" s="27"/>
      <c r="K283" s="30"/>
      <c r="L283" s="30"/>
      <c r="M283" s="30"/>
      <c r="N283" s="375"/>
      <c r="O283" s="375"/>
    </row>
    <row r="284" spans="1:15" s="29" customFormat="1">
      <c r="A284" s="27"/>
      <c r="B284" s="27"/>
      <c r="C284" s="27"/>
      <c r="D284" s="27"/>
      <c r="E284" s="27"/>
      <c r="F284" s="27"/>
      <c r="G284" s="33"/>
      <c r="H284" s="27"/>
      <c r="I284" s="27"/>
      <c r="K284" s="30"/>
      <c r="L284" s="30"/>
      <c r="M284" s="30"/>
      <c r="N284" s="375"/>
      <c r="O284" s="375"/>
    </row>
    <row r="285" spans="1:15" s="29" customFormat="1">
      <c r="A285" s="27"/>
      <c r="B285" s="27"/>
      <c r="C285" s="27"/>
      <c r="D285" s="27"/>
      <c r="E285" s="27"/>
      <c r="F285" s="27"/>
      <c r="G285" s="33"/>
      <c r="H285" s="27"/>
      <c r="I285" s="27"/>
      <c r="K285" s="30"/>
      <c r="L285" s="30"/>
      <c r="M285" s="30"/>
      <c r="N285" s="375"/>
      <c r="O285" s="375"/>
    </row>
    <row r="286" spans="1:15" s="29" customFormat="1">
      <c r="A286" s="27"/>
      <c r="B286" s="27"/>
      <c r="C286" s="27"/>
      <c r="D286" s="27"/>
      <c r="E286" s="27"/>
      <c r="F286" s="27"/>
      <c r="G286" s="33"/>
      <c r="H286" s="27"/>
      <c r="I286" s="27"/>
      <c r="K286" s="30"/>
      <c r="L286" s="30"/>
      <c r="M286" s="30"/>
      <c r="N286" s="375"/>
      <c r="O286" s="375"/>
    </row>
    <row r="287" spans="1:15" s="29" customFormat="1">
      <c r="A287" s="27"/>
      <c r="B287" s="27"/>
      <c r="C287" s="27"/>
      <c r="D287" s="27"/>
      <c r="E287" s="27"/>
      <c r="F287" s="27"/>
      <c r="G287" s="33"/>
      <c r="H287" s="27"/>
      <c r="I287" s="27"/>
      <c r="K287" s="30"/>
      <c r="L287" s="30"/>
      <c r="M287" s="30"/>
      <c r="N287" s="375"/>
      <c r="O287" s="375"/>
    </row>
    <row r="288" spans="1:15" s="29" customFormat="1">
      <c r="A288" s="27"/>
      <c r="B288" s="27"/>
      <c r="C288" s="27"/>
      <c r="D288" s="27"/>
      <c r="E288" s="27"/>
      <c r="F288" s="27"/>
      <c r="G288" s="33"/>
      <c r="H288" s="27"/>
      <c r="I288" s="27"/>
      <c r="K288" s="30"/>
      <c r="L288" s="30"/>
      <c r="M288" s="30"/>
      <c r="N288" s="375"/>
      <c r="O288" s="375"/>
    </row>
    <row r="289" spans="1:15" s="29" customFormat="1">
      <c r="A289" s="27"/>
      <c r="B289" s="27"/>
      <c r="C289" s="27"/>
      <c r="D289" s="27"/>
      <c r="E289" s="27"/>
      <c r="F289" s="27"/>
      <c r="G289" s="33"/>
      <c r="H289" s="27"/>
      <c r="I289" s="27"/>
      <c r="K289" s="30"/>
      <c r="L289" s="30"/>
      <c r="M289" s="30"/>
      <c r="N289" s="375"/>
      <c r="O289" s="375"/>
    </row>
    <row r="290" spans="1:15" s="29" customFormat="1">
      <c r="A290" s="27"/>
      <c r="B290" s="27"/>
      <c r="C290" s="27"/>
      <c r="D290" s="27"/>
      <c r="E290" s="27"/>
      <c r="F290" s="27"/>
      <c r="G290" s="33"/>
      <c r="H290" s="27"/>
      <c r="I290" s="27"/>
      <c r="K290" s="30"/>
      <c r="L290" s="30"/>
      <c r="M290" s="30"/>
      <c r="N290" s="375"/>
      <c r="O290" s="375"/>
    </row>
    <row r="291" spans="1:15" s="29" customFormat="1">
      <c r="A291" s="27"/>
      <c r="B291" s="27"/>
      <c r="C291" s="27"/>
      <c r="D291" s="27"/>
      <c r="E291" s="27"/>
      <c r="F291" s="27"/>
      <c r="G291" s="33"/>
      <c r="H291" s="27"/>
      <c r="I291" s="27"/>
      <c r="K291" s="30"/>
      <c r="L291" s="30"/>
      <c r="M291" s="30"/>
      <c r="N291" s="375"/>
      <c r="O291" s="375"/>
    </row>
    <row r="292" spans="1:15" s="29" customFormat="1">
      <c r="A292" s="27"/>
      <c r="B292" s="27"/>
      <c r="C292" s="27"/>
      <c r="D292" s="27"/>
      <c r="E292" s="27"/>
      <c r="F292" s="27"/>
      <c r="G292" s="33"/>
      <c r="H292" s="27"/>
      <c r="I292" s="27"/>
      <c r="K292" s="30"/>
      <c r="L292" s="30"/>
      <c r="M292" s="30"/>
      <c r="N292" s="375"/>
      <c r="O292" s="375"/>
    </row>
    <row r="293" spans="1:15" s="29" customFormat="1">
      <c r="A293" s="27"/>
      <c r="B293" s="27"/>
      <c r="C293" s="27"/>
      <c r="D293" s="27"/>
      <c r="E293" s="27"/>
      <c r="F293" s="27"/>
      <c r="G293" s="33"/>
      <c r="H293" s="27"/>
      <c r="I293" s="27"/>
      <c r="K293" s="30"/>
      <c r="L293" s="30"/>
      <c r="M293" s="30"/>
      <c r="N293" s="375"/>
      <c r="O293" s="375"/>
    </row>
    <row r="294" spans="1:15" s="29" customFormat="1">
      <c r="A294" s="27"/>
      <c r="B294" s="27"/>
      <c r="C294" s="27"/>
      <c r="D294" s="27"/>
      <c r="E294" s="27"/>
      <c r="F294" s="27"/>
      <c r="G294" s="33"/>
      <c r="H294" s="27"/>
      <c r="I294" s="27"/>
      <c r="K294" s="30"/>
      <c r="L294" s="30"/>
      <c r="M294" s="30"/>
      <c r="N294" s="375"/>
      <c r="O294" s="375"/>
    </row>
    <row r="295" spans="1:15" s="29" customFormat="1">
      <c r="A295" s="27"/>
      <c r="B295" s="27"/>
      <c r="C295" s="27"/>
      <c r="D295" s="27"/>
      <c r="E295" s="27"/>
      <c r="F295" s="27"/>
      <c r="G295" s="33"/>
      <c r="H295" s="27"/>
      <c r="I295" s="27"/>
      <c r="K295" s="30"/>
      <c r="L295" s="30"/>
      <c r="M295" s="30"/>
      <c r="N295" s="375"/>
      <c r="O295" s="375"/>
    </row>
    <row r="296" spans="1:15" s="29" customFormat="1">
      <c r="A296" s="27"/>
      <c r="B296" s="27"/>
      <c r="C296" s="27"/>
      <c r="D296" s="27"/>
      <c r="E296" s="27"/>
      <c r="F296" s="27"/>
      <c r="G296" s="33"/>
      <c r="H296" s="27"/>
      <c r="I296" s="27"/>
      <c r="K296" s="30"/>
      <c r="L296" s="30"/>
      <c r="M296" s="30"/>
      <c r="N296" s="375"/>
      <c r="O296" s="375"/>
    </row>
    <row r="297" spans="1:15" s="29" customFormat="1">
      <c r="A297" s="27"/>
      <c r="B297" s="27"/>
      <c r="C297" s="27"/>
      <c r="D297" s="27"/>
      <c r="E297" s="27"/>
      <c r="F297" s="27"/>
      <c r="G297" s="33"/>
      <c r="H297" s="27"/>
      <c r="I297" s="27"/>
      <c r="K297" s="30"/>
      <c r="L297" s="30"/>
      <c r="M297" s="30"/>
      <c r="N297" s="375"/>
      <c r="O297" s="375"/>
    </row>
    <row r="298" spans="1:15" s="29" customFormat="1">
      <c r="A298" s="27"/>
      <c r="B298" s="27"/>
      <c r="C298" s="27"/>
      <c r="D298" s="27"/>
      <c r="E298" s="27"/>
      <c r="F298" s="27"/>
      <c r="G298" s="33"/>
      <c r="H298" s="27"/>
      <c r="I298" s="27"/>
      <c r="K298" s="30"/>
      <c r="L298" s="30"/>
      <c r="M298" s="30"/>
      <c r="N298" s="375"/>
      <c r="O298" s="375"/>
    </row>
    <row r="299" spans="1:15" s="29" customFormat="1">
      <c r="A299" s="27"/>
      <c r="B299" s="27"/>
      <c r="C299" s="27"/>
      <c r="D299" s="27"/>
      <c r="E299" s="27"/>
      <c r="F299" s="27"/>
      <c r="G299" s="33"/>
      <c r="H299" s="27"/>
      <c r="I299" s="27"/>
      <c r="K299" s="30"/>
      <c r="L299" s="30"/>
      <c r="M299" s="30"/>
      <c r="N299" s="375"/>
      <c r="O299" s="375"/>
    </row>
    <row r="300" spans="1:15" s="29" customFormat="1">
      <c r="A300" s="27"/>
      <c r="B300" s="27"/>
      <c r="C300" s="27"/>
      <c r="D300" s="27"/>
      <c r="E300" s="27"/>
      <c r="F300" s="27"/>
      <c r="G300" s="33"/>
      <c r="H300" s="27"/>
      <c r="I300" s="27"/>
      <c r="K300" s="30"/>
      <c r="L300" s="30"/>
      <c r="M300" s="30"/>
      <c r="N300" s="375"/>
      <c r="O300" s="375"/>
    </row>
    <row r="301" spans="1:15" s="29" customFormat="1">
      <c r="A301" s="27"/>
      <c r="B301" s="27"/>
      <c r="C301" s="27"/>
      <c r="D301" s="27"/>
      <c r="E301" s="27"/>
      <c r="F301" s="27"/>
      <c r="G301" s="33"/>
      <c r="H301" s="27"/>
      <c r="I301" s="27"/>
      <c r="K301" s="30"/>
      <c r="L301" s="30"/>
      <c r="M301" s="30"/>
      <c r="N301" s="375"/>
      <c r="O301" s="375"/>
    </row>
    <row r="302" spans="1:15" s="29" customFormat="1">
      <c r="A302" s="27"/>
      <c r="B302" s="27"/>
      <c r="C302" s="27"/>
      <c r="D302" s="27"/>
      <c r="E302" s="27"/>
      <c r="F302" s="27"/>
      <c r="G302" s="33"/>
      <c r="H302" s="27"/>
      <c r="I302" s="27"/>
      <c r="K302" s="30"/>
      <c r="L302" s="30"/>
      <c r="M302" s="30"/>
      <c r="N302" s="375"/>
      <c r="O302" s="375"/>
    </row>
    <row r="303" spans="1:15" s="29" customFormat="1">
      <c r="A303" s="27"/>
      <c r="B303" s="27"/>
      <c r="C303" s="27"/>
      <c r="D303" s="27"/>
      <c r="E303" s="27"/>
      <c r="F303" s="27"/>
      <c r="G303" s="33"/>
      <c r="H303" s="27"/>
      <c r="I303" s="27"/>
      <c r="K303" s="30"/>
      <c r="L303" s="30"/>
      <c r="M303" s="30"/>
      <c r="N303" s="375"/>
      <c r="O303" s="375"/>
    </row>
    <row r="304" spans="1:15" s="29" customFormat="1">
      <c r="A304" s="27"/>
      <c r="B304" s="27"/>
      <c r="C304" s="27"/>
      <c r="D304" s="27"/>
      <c r="E304" s="27"/>
      <c r="F304" s="27"/>
      <c r="G304" s="33"/>
      <c r="H304" s="27"/>
      <c r="I304" s="27"/>
      <c r="K304" s="30"/>
      <c r="L304" s="30"/>
      <c r="M304" s="30"/>
      <c r="N304" s="375"/>
      <c r="O304" s="375"/>
    </row>
    <row r="305" spans="1:15" s="29" customFormat="1">
      <c r="A305" s="27"/>
      <c r="B305" s="27"/>
      <c r="C305" s="27"/>
      <c r="D305" s="27"/>
      <c r="E305" s="27"/>
      <c r="F305" s="27"/>
      <c r="G305" s="33"/>
      <c r="H305" s="27"/>
      <c r="I305" s="27"/>
      <c r="K305" s="30"/>
      <c r="L305" s="30"/>
      <c r="M305" s="30"/>
      <c r="N305" s="375"/>
      <c r="O305" s="375"/>
    </row>
    <row r="306" spans="1:15" s="29" customFormat="1">
      <c r="A306" s="27"/>
      <c r="B306" s="27"/>
      <c r="C306" s="27"/>
      <c r="D306" s="27"/>
      <c r="E306" s="27"/>
      <c r="F306" s="27"/>
      <c r="G306" s="33"/>
      <c r="H306" s="27"/>
      <c r="I306" s="27"/>
      <c r="K306" s="30"/>
      <c r="L306" s="30"/>
      <c r="M306" s="30"/>
      <c r="N306" s="375"/>
      <c r="O306" s="375"/>
    </row>
    <row r="307" spans="1:15" s="29" customFormat="1">
      <c r="A307" s="27"/>
      <c r="B307" s="27"/>
      <c r="C307" s="27"/>
      <c r="D307" s="27"/>
      <c r="E307" s="27"/>
      <c r="F307" s="27"/>
      <c r="G307" s="33"/>
      <c r="H307" s="27"/>
      <c r="I307" s="27"/>
      <c r="K307" s="30"/>
      <c r="L307" s="30"/>
      <c r="M307" s="30"/>
      <c r="N307" s="375"/>
      <c r="O307" s="375"/>
    </row>
  </sheetData>
  <mergeCells count="66">
    <mergeCell ref="C35:E35"/>
    <mergeCell ref="D3:E3"/>
    <mergeCell ref="C18:O18"/>
    <mergeCell ref="C19:H19"/>
    <mergeCell ref="C21:E21"/>
    <mergeCell ref="C22:E22"/>
    <mergeCell ref="C23:E23"/>
    <mergeCell ref="C20:E20"/>
    <mergeCell ref="D5:E5"/>
    <mergeCell ref="C11:F11"/>
    <mergeCell ref="C12:O12"/>
    <mergeCell ref="C7:N7"/>
    <mergeCell ref="C16:O16"/>
    <mergeCell ref="C30:E30"/>
    <mergeCell ref="C31:E31"/>
    <mergeCell ref="C32:K32"/>
    <mergeCell ref="C26:E26"/>
    <mergeCell ref="C27:E27"/>
    <mergeCell ref="C28:O28"/>
    <mergeCell ref="A1:O1"/>
    <mergeCell ref="N3:O3"/>
    <mergeCell ref="A2:B2"/>
    <mergeCell ref="D2:E2"/>
    <mergeCell ref="F2:G2"/>
    <mergeCell ref="G3:I3"/>
    <mergeCell ref="S67:T67"/>
    <mergeCell ref="U67:V67"/>
    <mergeCell ref="C60:H60"/>
    <mergeCell ref="I62:K62"/>
    <mergeCell ref="C64:E64"/>
    <mergeCell ref="H64:I64"/>
    <mergeCell ref="J64:K64"/>
    <mergeCell ref="C67:E67"/>
    <mergeCell ref="C61:H61"/>
    <mergeCell ref="F70:N70"/>
    <mergeCell ref="A3:B3"/>
    <mergeCell ref="C56:H56"/>
    <mergeCell ref="C57:H57"/>
    <mergeCell ref="C59:H59"/>
    <mergeCell ref="C49:O49"/>
    <mergeCell ref="C50:F50"/>
    <mergeCell ref="C53:F53"/>
    <mergeCell ref="C52:F52"/>
    <mergeCell ref="C48:E48"/>
    <mergeCell ref="C29:G29"/>
    <mergeCell ref="C46:O46"/>
    <mergeCell ref="C42:O42"/>
    <mergeCell ref="C51:F51"/>
    <mergeCell ref="C36:E36"/>
    <mergeCell ref="C37:E37"/>
    <mergeCell ref="C58:H58"/>
    <mergeCell ref="F17:G17"/>
    <mergeCell ref="F20:G20"/>
    <mergeCell ref="F39:G39"/>
    <mergeCell ref="F40:G40"/>
    <mergeCell ref="C43:D43"/>
    <mergeCell ref="C41:D41"/>
    <mergeCell ref="C44:D44"/>
    <mergeCell ref="C47:E47"/>
    <mergeCell ref="C54:F54"/>
    <mergeCell ref="C40:D40"/>
    <mergeCell ref="C39:D39"/>
    <mergeCell ref="C38:O38"/>
    <mergeCell ref="C34:H34"/>
    <mergeCell ref="C24:O24"/>
    <mergeCell ref="C25:E25"/>
  </mergeCells>
  <pageMargins left="0.25" right="0.25" top="0.62" bottom="0.84" header="0.24" footer="0.3"/>
  <pageSetup scale="9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291"/>
  <sheetViews>
    <sheetView topLeftCell="A40" zoomScaleSheetLayoutView="90" workbookViewId="0">
      <selection activeCell="G46" sqref="G46"/>
    </sheetView>
  </sheetViews>
  <sheetFormatPr defaultRowHeight="15.75"/>
  <cols>
    <col min="1" max="1" width="4" style="40" customWidth="1"/>
    <col min="2" max="2" width="12.140625" style="40" customWidth="1"/>
    <col min="3" max="3" width="30" style="40" customWidth="1"/>
    <col min="4" max="4" width="10.5703125" style="40" customWidth="1"/>
    <col min="5" max="5" width="6.140625" style="42" customWidth="1"/>
    <col min="6" max="6" width="10.5703125" style="43" customWidth="1"/>
    <col min="7" max="7" width="10.85546875" style="43" customWidth="1"/>
    <col min="8" max="8" width="9" style="30" customWidth="1"/>
    <col min="9" max="9" width="11.28515625" style="347" customWidth="1"/>
    <col min="10" max="10" width="11" style="347" customWidth="1"/>
    <col min="11" max="16384" width="9.140625" style="313"/>
  </cols>
  <sheetData>
    <row r="1" spans="1:10" ht="20.25">
      <c r="A1" s="663" t="s">
        <v>398</v>
      </c>
      <c r="B1" s="664"/>
      <c r="C1" s="664"/>
      <c r="D1" s="664"/>
      <c r="E1" s="664"/>
      <c r="F1" s="664"/>
      <c r="G1" s="664"/>
      <c r="H1" s="664"/>
      <c r="I1" s="664"/>
      <c r="J1" s="665"/>
    </row>
    <row r="2" spans="1:10" ht="15.75" customHeight="1">
      <c r="A2" s="655" t="s">
        <v>351</v>
      </c>
      <c r="B2" s="655"/>
      <c r="C2" s="402" t="s">
        <v>350</v>
      </c>
      <c r="D2" s="402" t="s">
        <v>395</v>
      </c>
      <c r="E2" s="402" t="s">
        <v>396</v>
      </c>
      <c r="F2" s="402" t="s">
        <v>397</v>
      </c>
      <c r="G2" s="402" t="s">
        <v>355</v>
      </c>
      <c r="H2" s="315"/>
      <c r="I2" s="315"/>
      <c r="J2" s="401"/>
    </row>
    <row r="3" spans="1:10" ht="12.75" customHeight="1">
      <c r="A3" s="405"/>
      <c r="B3" s="405"/>
      <c r="C3" s="26"/>
      <c r="D3" s="405"/>
      <c r="E3" s="407"/>
      <c r="F3" s="407"/>
      <c r="G3" s="26"/>
      <c r="H3" s="408"/>
      <c r="I3" s="407"/>
      <c r="J3" s="407"/>
    </row>
    <row r="4" spans="1:10" ht="54.75" customHeight="1">
      <c r="A4" s="458" t="s">
        <v>60</v>
      </c>
      <c r="B4" s="458" t="s">
        <v>399</v>
      </c>
      <c r="C4" s="458" t="s">
        <v>62</v>
      </c>
      <c r="D4" s="458" t="s">
        <v>66</v>
      </c>
      <c r="E4" s="458" t="s">
        <v>67</v>
      </c>
      <c r="F4" s="458" t="s">
        <v>196</v>
      </c>
      <c r="G4" s="458" t="s">
        <v>68</v>
      </c>
      <c r="H4" s="418" t="s">
        <v>370</v>
      </c>
      <c r="I4" s="458" t="s">
        <v>70</v>
      </c>
      <c r="J4" s="417" t="s">
        <v>430</v>
      </c>
    </row>
    <row r="5" spans="1:10">
      <c r="A5" s="409">
        <v>1</v>
      </c>
      <c r="B5" s="409">
        <v>2</v>
      </c>
      <c r="C5" s="409">
        <v>3</v>
      </c>
      <c r="D5" s="409">
        <v>4</v>
      </c>
      <c r="E5" s="409">
        <v>5</v>
      </c>
      <c r="F5" s="409">
        <v>6</v>
      </c>
      <c r="G5" s="409">
        <v>7</v>
      </c>
      <c r="H5" s="409">
        <v>8</v>
      </c>
      <c r="I5" s="409">
        <v>9</v>
      </c>
      <c r="J5" s="409">
        <v>10</v>
      </c>
    </row>
    <row r="6" spans="1:10" ht="15.75" customHeight="1">
      <c r="A6" s="387">
        <v>1</v>
      </c>
      <c r="B6" s="387" t="s">
        <v>282</v>
      </c>
      <c r="C6" s="621" t="s">
        <v>71</v>
      </c>
      <c r="D6" s="622"/>
      <c r="E6" s="622"/>
      <c r="F6" s="622"/>
      <c r="G6" s="622"/>
      <c r="H6" s="622"/>
      <c r="I6" s="623"/>
      <c r="J6" s="320"/>
    </row>
    <row r="7" spans="1:10">
      <c r="A7" s="387"/>
      <c r="B7" s="387"/>
      <c r="C7" s="321"/>
      <c r="D7" s="323">
        <f>'cost estimate'!I10</f>
        <v>2987.9208910945954</v>
      </c>
      <c r="E7" s="324" t="s">
        <v>72</v>
      </c>
      <c r="F7" s="325">
        <v>1.98</v>
      </c>
      <c r="G7" s="326">
        <f>F7*D7</f>
        <v>5916.0833643672986</v>
      </c>
      <c r="H7" s="327">
        <v>1.9</v>
      </c>
      <c r="I7" s="326">
        <f>H7*D7</f>
        <v>5677.0496930797308</v>
      </c>
      <c r="J7" s="326">
        <f>G7-I7</f>
        <v>239.03367128756781</v>
      </c>
    </row>
    <row r="8" spans="1:10">
      <c r="A8" s="328">
        <v>2</v>
      </c>
      <c r="B8" s="328" t="s">
        <v>283</v>
      </c>
      <c r="C8" s="444" t="s">
        <v>73</v>
      </c>
      <c r="D8" s="421"/>
      <c r="E8" s="422"/>
      <c r="F8" s="423"/>
      <c r="G8" s="424"/>
      <c r="H8" s="424"/>
      <c r="I8" s="423"/>
      <c r="J8" s="425"/>
    </row>
    <row r="9" spans="1:10">
      <c r="A9" s="328"/>
      <c r="B9" s="328"/>
      <c r="C9" s="621" t="s">
        <v>371</v>
      </c>
      <c r="D9" s="622"/>
      <c r="E9" s="622"/>
      <c r="F9" s="622"/>
      <c r="G9" s="622"/>
      <c r="H9" s="622"/>
      <c r="I9" s="622"/>
      <c r="J9" s="623"/>
    </row>
    <row r="10" spans="1:10">
      <c r="A10" s="328"/>
      <c r="B10" s="328"/>
      <c r="C10" s="457"/>
      <c r="D10" s="389">
        <f>'cost estimate'!I15</f>
        <v>205.0534368816509</v>
      </c>
      <c r="E10" s="324" t="s">
        <v>75</v>
      </c>
      <c r="F10" s="325">
        <v>0.31</v>
      </c>
      <c r="G10" s="326">
        <f>F10*D10</f>
        <v>63.56656543331178</v>
      </c>
      <c r="H10" s="327">
        <f>F10</f>
        <v>0.31</v>
      </c>
      <c r="I10" s="326">
        <f>H10*D10</f>
        <v>63.56656543331178</v>
      </c>
      <c r="J10" s="326">
        <f>G10-I10</f>
        <v>0</v>
      </c>
    </row>
    <row r="11" spans="1:10">
      <c r="A11" s="328">
        <v>3</v>
      </c>
      <c r="B11" s="328" t="s">
        <v>284</v>
      </c>
      <c r="C11" s="621" t="s">
        <v>295</v>
      </c>
      <c r="D11" s="622"/>
      <c r="E11" s="622"/>
      <c r="F11" s="622"/>
      <c r="G11" s="622"/>
      <c r="H11" s="622"/>
      <c r="I11" s="622"/>
      <c r="J11" s="623"/>
    </row>
    <row r="12" spans="1:10" ht="25.5">
      <c r="A12" s="328"/>
      <c r="B12" s="328"/>
      <c r="C12" s="321" t="s">
        <v>419</v>
      </c>
      <c r="D12" s="323">
        <f>'cost estimate'!I17</f>
        <v>128.54999999999998</v>
      </c>
      <c r="E12" s="324" t="s">
        <v>76</v>
      </c>
      <c r="F12" s="325">
        <v>146.51</v>
      </c>
      <c r="G12" s="326">
        <f>D12*F12</f>
        <v>18833.860499999995</v>
      </c>
      <c r="H12" s="327">
        <v>140.87</v>
      </c>
      <c r="I12" s="326">
        <f>H12*D12</f>
        <v>18108.838499999998</v>
      </c>
      <c r="J12" s="326">
        <f>G12-I12</f>
        <v>725.02199999999721</v>
      </c>
    </row>
    <row r="13" spans="1:10" ht="33" customHeight="1">
      <c r="A13" s="328">
        <v>4</v>
      </c>
      <c r="B13" s="328" t="s">
        <v>285</v>
      </c>
      <c r="C13" s="621" t="s">
        <v>77</v>
      </c>
      <c r="D13" s="622"/>
      <c r="E13" s="622"/>
      <c r="F13" s="622"/>
      <c r="G13" s="622"/>
      <c r="H13" s="622"/>
      <c r="I13" s="622"/>
      <c r="J13" s="623"/>
    </row>
    <row r="14" spans="1:10" ht="15.75" customHeight="1">
      <c r="A14" s="328"/>
      <c r="B14" s="334"/>
      <c r="C14" s="446" t="s">
        <v>78</v>
      </c>
      <c r="D14" s="329"/>
      <c r="E14" s="312"/>
      <c r="F14" s="322"/>
      <c r="G14" s="326"/>
      <c r="H14" s="326"/>
      <c r="I14" s="322"/>
      <c r="J14" s="318"/>
    </row>
    <row r="15" spans="1:10">
      <c r="A15" s="387"/>
      <c r="B15" s="387"/>
      <c r="C15" s="442" t="s">
        <v>388</v>
      </c>
      <c r="D15" s="329">
        <f>'cost estimate'!I23</f>
        <v>742.36186386971622</v>
      </c>
      <c r="E15" s="324" t="s">
        <v>76</v>
      </c>
      <c r="F15" s="325">
        <v>122.09</v>
      </c>
      <c r="G15" s="326">
        <f>D15*F15</f>
        <v>90634.959959853659</v>
      </c>
      <c r="H15" s="323">
        <v>117.39</v>
      </c>
      <c r="I15" s="326">
        <f>H15*D15</f>
        <v>87145.859199665982</v>
      </c>
      <c r="J15" s="326">
        <f>G15-I15</f>
        <v>3489.1007601876772</v>
      </c>
    </row>
    <row r="16" spans="1:10" ht="27.75" customHeight="1">
      <c r="A16" s="387">
        <v>5</v>
      </c>
      <c r="B16" s="387" t="s">
        <v>287</v>
      </c>
      <c r="C16" s="624" t="s">
        <v>80</v>
      </c>
      <c r="D16" s="625"/>
      <c r="E16" s="625"/>
      <c r="F16" s="625"/>
      <c r="G16" s="625"/>
      <c r="H16" s="625"/>
      <c r="I16" s="625"/>
      <c r="J16" s="626"/>
    </row>
    <row r="17" spans="1:15">
      <c r="A17" s="387"/>
      <c r="B17" s="387"/>
      <c r="C17" s="452" t="s">
        <v>389</v>
      </c>
      <c r="D17" s="329">
        <f>'cost estimate'!I27</f>
        <v>418.8</v>
      </c>
      <c r="E17" s="324" t="s">
        <v>81</v>
      </c>
      <c r="F17" s="325">
        <v>322.54000000000002</v>
      </c>
      <c r="G17" s="326">
        <f>D17*F17</f>
        <v>135079.75200000001</v>
      </c>
      <c r="H17" s="327">
        <v>281.60000000000002</v>
      </c>
      <c r="I17" s="326">
        <f>H17*D17</f>
        <v>117934.08000000002</v>
      </c>
      <c r="J17" s="326">
        <f>G17-I17</f>
        <v>17145.671999999991</v>
      </c>
    </row>
    <row r="18" spans="1:15" ht="45" customHeight="1">
      <c r="A18" s="339">
        <v>6</v>
      </c>
      <c r="B18" s="339" t="s">
        <v>290</v>
      </c>
      <c r="C18" s="621" t="s">
        <v>205</v>
      </c>
      <c r="D18" s="622"/>
      <c r="E18" s="622"/>
      <c r="F18" s="622"/>
      <c r="G18" s="622"/>
      <c r="H18" s="622"/>
      <c r="I18" s="622"/>
      <c r="J18" s="623"/>
    </row>
    <row r="19" spans="1:15" ht="25.5" customHeight="1">
      <c r="A19" s="387"/>
      <c r="B19" s="387"/>
      <c r="C19" s="451" t="s">
        <v>296</v>
      </c>
      <c r="D19" s="377">
        <f>'cost estimate'!I31</f>
        <v>1841.2000000000005</v>
      </c>
      <c r="E19" s="324" t="s">
        <v>76</v>
      </c>
      <c r="F19" s="325">
        <v>126.54</v>
      </c>
      <c r="G19" s="326">
        <f>F19*D19</f>
        <v>232985.44800000006</v>
      </c>
      <c r="H19" s="317">
        <v>117.57</v>
      </c>
      <c r="I19" s="326">
        <f>H19*D19</f>
        <v>216469.88400000005</v>
      </c>
      <c r="J19" s="326">
        <f>G19-I19</f>
        <v>16515.564000000013</v>
      </c>
    </row>
    <row r="20" spans="1:15" ht="15.75" customHeight="1">
      <c r="A20" s="387">
        <v>7</v>
      </c>
      <c r="B20" s="387" t="s">
        <v>288</v>
      </c>
      <c r="C20" s="621" t="s">
        <v>272</v>
      </c>
      <c r="D20" s="622"/>
      <c r="E20" s="622"/>
      <c r="F20" s="623"/>
      <c r="G20" s="338"/>
      <c r="H20" s="338"/>
      <c r="I20" s="338"/>
      <c r="J20" s="338"/>
    </row>
    <row r="21" spans="1:15">
      <c r="A21" s="387"/>
      <c r="B21" s="387"/>
      <c r="C21" s="339" t="s">
        <v>204</v>
      </c>
      <c r="D21" s="329">
        <f>'cost estimate'!I33</f>
        <v>1070.0000000000002</v>
      </c>
      <c r="E21" s="324" t="s">
        <v>81</v>
      </c>
      <c r="F21" s="325">
        <v>26.4</v>
      </c>
      <c r="G21" s="326">
        <f>D21*F21</f>
        <v>28248.000000000004</v>
      </c>
      <c r="H21" s="327">
        <f>F21</f>
        <v>26.4</v>
      </c>
      <c r="I21" s="326">
        <f>H21*D21</f>
        <v>28248.000000000004</v>
      </c>
      <c r="J21" s="326">
        <f>G21-I21</f>
        <v>0</v>
      </c>
    </row>
    <row r="22" spans="1:15" ht="15.75" customHeight="1">
      <c r="A22" s="387">
        <v>8</v>
      </c>
      <c r="B22" s="387" t="s">
        <v>289</v>
      </c>
      <c r="C22" s="446" t="s">
        <v>372</v>
      </c>
      <c r="D22" s="340"/>
      <c r="E22" s="340"/>
      <c r="F22" s="340"/>
      <c r="G22" s="340"/>
      <c r="H22" s="341"/>
      <c r="I22" s="340"/>
      <c r="J22" s="342"/>
    </row>
    <row r="23" spans="1:15" ht="18" customHeight="1">
      <c r="A23" s="387"/>
      <c r="B23" s="387"/>
      <c r="C23" s="441" t="s">
        <v>356</v>
      </c>
      <c r="D23" s="329">
        <f>'cost estimate'!I35</f>
        <v>642.00000000000011</v>
      </c>
      <c r="E23" s="324" t="s">
        <v>81</v>
      </c>
      <c r="F23" s="325">
        <v>12.44</v>
      </c>
      <c r="G23" s="326">
        <f>D23*F23</f>
        <v>7986.4800000000014</v>
      </c>
      <c r="H23" s="323">
        <f>F23</f>
        <v>12.44</v>
      </c>
      <c r="I23" s="326">
        <f>H23*D23</f>
        <v>7986.4800000000014</v>
      </c>
      <c r="J23" s="326">
        <f>G23-I23</f>
        <v>0</v>
      </c>
      <c r="M23" s="29"/>
      <c r="N23" s="29"/>
      <c r="O23" s="29"/>
    </row>
    <row r="24" spans="1:15" ht="15" customHeight="1">
      <c r="A24" s="387"/>
      <c r="B24" s="387"/>
      <c r="C24" s="441" t="s">
        <v>357</v>
      </c>
      <c r="D24" s="378">
        <f>'cost estimate'!I36</f>
        <v>428.00000000000011</v>
      </c>
      <c r="E24" s="324" t="s">
        <v>81</v>
      </c>
      <c r="F24" s="379">
        <v>24.88</v>
      </c>
      <c r="G24" s="326">
        <f>D24*F24</f>
        <v>10648.640000000003</v>
      </c>
      <c r="H24" s="323">
        <f t="shared" ref="H24:H25" si="0">F24</f>
        <v>24.88</v>
      </c>
      <c r="I24" s="326">
        <f>H24*D24</f>
        <v>10648.640000000003</v>
      </c>
      <c r="J24" s="326">
        <f t="shared" ref="J24:J25" si="1">G24-I24</f>
        <v>0</v>
      </c>
    </row>
    <row r="25" spans="1:15" ht="13.5" customHeight="1">
      <c r="A25" s="387"/>
      <c r="B25" s="387"/>
      <c r="C25" s="441" t="s">
        <v>358</v>
      </c>
      <c r="D25" s="378">
        <f>'cost estimate'!I37</f>
        <v>107.00000000000003</v>
      </c>
      <c r="E25" s="324" t="s">
        <v>81</v>
      </c>
      <c r="F25" s="379">
        <v>37.32</v>
      </c>
      <c r="G25" s="326">
        <f>D25*F25</f>
        <v>3993.2400000000011</v>
      </c>
      <c r="H25" s="323">
        <f t="shared" si="0"/>
        <v>37.32</v>
      </c>
      <c r="I25" s="326">
        <f>H25*D25</f>
        <v>3993.2400000000011</v>
      </c>
      <c r="J25" s="326">
        <f t="shared" si="1"/>
        <v>0</v>
      </c>
    </row>
    <row r="26" spans="1:15" ht="31.5" customHeight="1">
      <c r="A26" s="387">
        <v>9</v>
      </c>
      <c r="B26" s="387" t="s">
        <v>286</v>
      </c>
      <c r="C26" s="621" t="s">
        <v>79</v>
      </c>
      <c r="D26" s="622"/>
      <c r="E26" s="622"/>
      <c r="F26" s="622"/>
      <c r="G26" s="622"/>
      <c r="H26" s="622"/>
      <c r="I26" s="622"/>
      <c r="J26" s="623"/>
    </row>
    <row r="27" spans="1:15" ht="32.25" customHeight="1">
      <c r="A27" s="343"/>
      <c r="B27" s="343"/>
      <c r="C27" s="456" t="s">
        <v>390</v>
      </c>
      <c r="D27" s="460">
        <f>'cost estimate'!I41</f>
        <v>324.97963741811981</v>
      </c>
      <c r="E27" s="324" t="s">
        <v>81</v>
      </c>
      <c r="F27" s="325">
        <v>122.09</v>
      </c>
      <c r="G27" s="326">
        <f>D27*F27</f>
        <v>39676.76393237825</v>
      </c>
      <c r="H27" s="323">
        <v>117.39</v>
      </c>
      <c r="I27" s="326">
        <f>D27*H27</f>
        <v>38149.359636513087</v>
      </c>
      <c r="J27" s="326">
        <f>G27-I27</f>
        <v>1527.4042958651626</v>
      </c>
    </row>
    <row r="28" spans="1:15" ht="31.5" customHeight="1">
      <c r="A28" s="387">
        <v>10</v>
      </c>
      <c r="B28" s="437" t="s">
        <v>362</v>
      </c>
      <c r="C28" s="643" t="s">
        <v>363</v>
      </c>
      <c r="D28" s="622"/>
      <c r="E28" s="622"/>
      <c r="F28" s="622"/>
      <c r="G28" s="622"/>
      <c r="H28" s="622"/>
      <c r="I28" s="622"/>
      <c r="J28" s="623"/>
    </row>
    <row r="29" spans="1:15" ht="18.75" customHeight="1">
      <c r="A29" s="387"/>
      <c r="B29" s="387"/>
      <c r="C29" s="441" t="s">
        <v>387</v>
      </c>
      <c r="D29" s="329">
        <f>'cost estimate'!I45</f>
        <v>65.435000000000002</v>
      </c>
      <c r="E29" s="324" t="s">
        <v>81</v>
      </c>
      <c r="F29" s="325">
        <v>547.94000000000005</v>
      </c>
      <c r="G29" s="340">
        <f>D29*F29</f>
        <v>35854.453900000008</v>
      </c>
      <c r="H29" s="323">
        <v>242.88</v>
      </c>
      <c r="I29" s="326">
        <f>H29*D29</f>
        <v>15892.852800000001</v>
      </c>
      <c r="J29" s="326">
        <f>G29-I29</f>
        <v>19961.601100000007</v>
      </c>
      <c r="L29" s="348"/>
    </row>
    <row r="30" spans="1:15">
      <c r="A30" s="387">
        <v>11</v>
      </c>
      <c r="B30" s="387" t="s">
        <v>291</v>
      </c>
      <c r="C30" s="621" t="s">
        <v>281</v>
      </c>
      <c r="D30" s="622"/>
      <c r="E30" s="622"/>
      <c r="F30" s="622"/>
      <c r="G30" s="622"/>
      <c r="H30" s="622"/>
      <c r="I30" s="622"/>
      <c r="J30" s="623"/>
    </row>
    <row r="31" spans="1:15" ht="38.25" customHeight="1">
      <c r="A31" s="387"/>
      <c r="B31" s="352"/>
      <c r="C31" s="441" t="s">
        <v>378</v>
      </c>
      <c r="D31" s="323">
        <f>'cost estimate'!I47</f>
        <v>568.26363156515231</v>
      </c>
      <c r="E31" s="324" t="s">
        <v>72</v>
      </c>
      <c r="F31" s="325">
        <v>248.71</v>
      </c>
      <c r="G31" s="326">
        <f>F31*D31</f>
        <v>141332.84780656904</v>
      </c>
      <c r="H31" s="323">
        <v>56.32</v>
      </c>
      <c r="I31" s="326">
        <f>H31*D31</f>
        <v>32004.607729749379</v>
      </c>
      <c r="J31" s="326">
        <f>G31-I31</f>
        <v>109328.24007681967</v>
      </c>
    </row>
    <row r="32" spans="1:15" ht="17.25" customHeight="1">
      <c r="A32" s="387">
        <v>12</v>
      </c>
      <c r="B32" s="387" t="s">
        <v>292</v>
      </c>
      <c r="C32" s="450" t="s">
        <v>373</v>
      </c>
      <c r="D32" s="439">
        <f>'cost estimate'!I48</f>
        <v>85.239544734772849</v>
      </c>
      <c r="E32" s="324" t="s">
        <v>81</v>
      </c>
      <c r="F32" s="323">
        <v>236.76</v>
      </c>
      <c r="G32" s="326">
        <f>F32*D32</f>
        <v>20181.314611404818</v>
      </c>
      <c r="H32" s="323">
        <v>36.96</v>
      </c>
      <c r="I32" s="326">
        <f>H32*D32</f>
        <v>3150.4535733972048</v>
      </c>
      <c r="J32" s="326">
        <f>G32-I32</f>
        <v>17030.861038007613</v>
      </c>
    </row>
    <row r="33" spans="1:12" ht="24" customHeight="1">
      <c r="A33" s="387">
        <v>13</v>
      </c>
      <c r="B33" s="343" t="s">
        <v>345</v>
      </c>
      <c r="C33" s="621" t="s">
        <v>374</v>
      </c>
      <c r="D33" s="622"/>
      <c r="E33" s="622"/>
      <c r="F33" s="622"/>
      <c r="G33" s="622"/>
      <c r="H33" s="622"/>
      <c r="I33" s="622"/>
      <c r="J33" s="623"/>
    </row>
    <row r="34" spans="1:12" ht="43.5" customHeight="1">
      <c r="A34" s="387"/>
      <c r="B34" s="343" t="s">
        <v>349</v>
      </c>
      <c r="C34" s="447" t="s">
        <v>379</v>
      </c>
      <c r="D34" s="323">
        <f>'cost estimate'!I50</f>
        <v>190.4529989443335</v>
      </c>
      <c r="E34" s="324" t="s">
        <v>81</v>
      </c>
      <c r="F34" s="325">
        <f>159.09*1.15</f>
        <v>182.95349999999999</v>
      </c>
      <c r="G34" s="326">
        <f>F34*D34</f>
        <v>34844.042742362115</v>
      </c>
      <c r="H34" s="323">
        <f>1.15*35.45</f>
        <v>40.767499999999998</v>
      </c>
      <c r="I34" s="326">
        <f>D34*H34</f>
        <v>7764.292634463116</v>
      </c>
      <c r="J34" s="326">
        <f>G34-I34</f>
        <v>27079.750107898999</v>
      </c>
    </row>
    <row r="35" spans="1:12" ht="32.25" customHeight="1">
      <c r="A35" s="387"/>
      <c r="B35" s="343" t="s">
        <v>361</v>
      </c>
      <c r="C35" s="448" t="s">
        <v>360</v>
      </c>
      <c r="D35" s="323">
        <f>'cost estimate'!I51</f>
        <v>85.239544734772849</v>
      </c>
      <c r="E35" s="324" t="s">
        <v>81</v>
      </c>
      <c r="F35" s="325">
        <v>159.09</v>
      </c>
      <c r="G35" s="326">
        <f>F35*D35</f>
        <v>13560.759171855012</v>
      </c>
      <c r="H35" s="323">
        <v>35.450000000000003</v>
      </c>
      <c r="I35" s="326">
        <f t="shared" ref="I35:I38" si="2">D35*H35</f>
        <v>3021.7418608476978</v>
      </c>
      <c r="J35" s="326">
        <f>G35-I35</f>
        <v>10539.017311007314</v>
      </c>
    </row>
    <row r="36" spans="1:12" ht="15.75" customHeight="1">
      <c r="A36" s="387"/>
      <c r="B36" s="343" t="s">
        <v>348</v>
      </c>
      <c r="C36" s="449" t="s">
        <v>380</v>
      </c>
      <c r="D36" s="323">
        <f>'cost estimate'!I52</f>
        <v>418.8</v>
      </c>
      <c r="E36" s="324" t="s">
        <v>81</v>
      </c>
      <c r="F36" s="325">
        <f>159.09*0.9</f>
        <v>143.18100000000001</v>
      </c>
      <c r="G36" s="326">
        <f>F36*D36</f>
        <v>59964.202800000006</v>
      </c>
      <c r="H36" s="323">
        <f>0.9*35.43</f>
        <v>31.887</v>
      </c>
      <c r="I36" s="326">
        <f t="shared" si="2"/>
        <v>13354.275600000001</v>
      </c>
      <c r="J36" s="326">
        <f>G36-I36</f>
        <v>46609.927200000006</v>
      </c>
    </row>
    <row r="37" spans="1:12" ht="15.75" customHeight="1">
      <c r="A37" s="387"/>
      <c r="B37" s="387" t="s">
        <v>346</v>
      </c>
      <c r="C37" s="448" t="s">
        <v>382</v>
      </c>
      <c r="D37" s="323">
        <f>'cost estimate'!I53</f>
        <v>2140.0000000000005</v>
      </c>
      <c r="E37" s="324" t="s">
        <v>81</v>
      </c>
      <c r="F37" s="399">
        <f>1.79*9</f>
        <v>16.11</v>
      </c>
      <c r="G37" s="326">
        <f>D37*F37</f>
        <v>34475.400000000009</v>
      </c>
      <c r="H37" s="399">
        <f>1.79*9</f>
        <v>16.11</v>
      </c>
      <c r="I37" s="326">
        <f t="shared" si="2"/>
        <v>34475.400000000009</v>
      </c>
      <c r="J37" s="326">
        <f>G37-I37</f>
        <v>0</v>
      </c>
    </row>
    <row r="38" spans="1:12" ht="15.75" customHeight="1">
      <c r="A38" s="387"/>
      <c r="B38" s="387" t="s">
        <v>347</v>
      </c>
      <c r="C38" s="448" t="s">
        <v>381</v>
      </c>
      <c r="D38" s="323">
        <f>'cost estimate'!I54</f>
        <v>120</v>
      </c>
      <c r="E38" s="324" t="s">
        <v>81</v>
      </c>
      <c r="F38" s="325">
        <f>2.46*9</f>
        <v>22.14</v>
      </c>
      <c r="G38" s="326">
        <f>D38*F38</f>
        <v>2656.8</v>
      </c>
      <c r="H38" s="325">
        <f>2.46*9</f>
        <v>22.14</v>
      </c>
      <c r="I38" s="326">
        <f t="shared" si="2"/>
        <v>2656.8</v>
      </c>
      <c r="J38" s="326">
        <f>G38-I38</f>
        <v>0</v>
      </c>
    </row>
    <row r="39" spans="1:12" s="355" customFormat="1" ht="19.5" customHeight="1">
      <c r="A39" s="353"/>
      <c r="B39" s="353"/>
      <c r="C39" s="393"/>
      <c r="D39" s="461" t="s">
        <v>82</v>
      </c>
      <c r="E39" s="324"/>
      <c r="F39" s="354" t="s">
        <v>364</v>
      </c>
      <c r="G39" s="356">
        <f>G38+G37+G36+G35+G34+G32+G31+G29+G27+G25+G24+G23+G21+G19+G17+G15+G12+G10+G7</f>
        <v>916936.61535422341</v>
      </c>
      <c r="H39" s="356"/>
      <c r="I39" s="356">
        <f>I38+I37+I36+I35+I34+I32+I31+I29+I27+I25+I24+I23+I21+I19+I17+I15+I12+I10+I7</f>
        <v>646745.42179314955</v>
      </c>
      <c r="J39" s="356">
        <f>J38+J37+J36+J35+J34+J32+J31+J29+J27+J25+J24+J23+J21+J19+J17+J15+J12+J10+J7</f>
        <v>270191.19356107403</v>
      </c>
    </row>
    <row r="40" spans="1:12" ht="27.75" customHeight="1">
      <c r="A40" s="387">
        <v>14</v>
      </c>
      <c r="B40" s="387"/>
      <c r="C40" s="444" t="s">
        <v>385</v>
      </c>
      <c r="D40" s="9">
        <v>73</v>
      </c>
      <c r="E40" s="324" t="s">
        <v>84</v>
      </c>
      <c r="F40" s="325">
        <v>197</v>
      </c>
      <c r="G40" s="326">
        <f>D40*F40</f>
        <v>14381</v>
      </c>
      <c r="H40" s="326"/>
      <c r="I40" s="322"/>
      <c r="J40" s="326">
        <f t="shared" ref="J40:J45" si="3">G40-I40</f>
        <v>14381</v>
      </c>
    </row>
    <row r="41" spans="1:12" ht="29.25" customHeight="1">
      <c r="A41" s="387">
        <v>15</v>
      </c>
      <c r="B41" s="387"/>
      <c r="C41" s="444" t="s">
        <v>375</v>
      </c>
      <c r="D41" s="9">
        <v>73</v>
      </c>
      <c r="E41" s="324" t="s">
        <v>84</v>
      </c>
      <c r="F41" s="325">
        <v>176</v>
      </c>
      <c r="G41" s="326">
        <f>F41*D41</f>
        <v>12848</v>
      </c>
      <c r="H41" s="326"/>
      <c r="I41" s="326">
        <f>G41</f>
        <v>12848</v>
      </c>
      <c r="J41" s="326">
        <f t="shared" si="3"/>
        <v>0</v>
      </c>
    </row>
    <row r="42" spans="1:12" ht="13.5" customHeight="1">
      <c r="A42" s="387"/>
      <c r="B42" s="387"/>
      <c r="C42" s="440" t="s">
        <v>299</v>
      </c>
      <c r="D42" s="9"/>
      <c r="E42" s="324"/>
      <c r="F42" s="325"/>
      <c r="G42" s="326">
        <v>10000</v>
      </c>
      <c r="H42" s="326"/>
      <c r="I42" s="326">
        <v>10000</v>
      </c>
      <c r="J42" s="326">
        <v>0</v>
      </c>
    </row>
    <row r="43" spans="1:12" ht="15.75" customHeight="1">
      <c r="A43" s="387">
        <v>16</v>
      </c>
      <c r="B43" s="387"/>
      <c r="C43" s="445" t="s">
        <v>86</v>
      </c>
      <c r="D43" s="429" t="s">
        <v>87</v>
      </c>
      <c r="E43" s="357"/>
      <c r="F43" s="358"/>
      <c r="G43" s="359">
        <v>3000</v>
      </c>
      <c r="H43" s="360"/>
      <c r="I43" s="322"/>
      <c r="J43" s="326">
        <f t="shared" si="3"/>
        <v>3000</v>
      </c>
    </row>
    <row r="44" spans="1:12">
      <c r="A44" s="387">
        <v>17</v>
      </c>
      <c r="B44" s="387"/>
      <c r="C44" s="445" t="s">
        <v>298</v>
      </c>
      <c r="D44" s="430" t="s">
        <v>87</v>
      </c>
      <c r="E44" s="361"/>
      <c r="F44" s="362"/>
      <c r="G44" s="363">
        <v>5000</v>
      </c>
      <c r="H44" s="326"/>
      <c r="I44" s="322"/>
      <c r="J44" s="326">
        <f t="shared" si="3"/>
        <v>5000</v>
      </c>
    </row>
    <row r="45" spans="1:12" ht="15.75" customHeight="1">
      <c r="A45" s="387">
        <v>18</v>
      </c>
      <c r="B45" s="364"/>
      <c r="C45" s="440" t="s">
        <v>383</v>
      </c>
      <c r="D45" s="365">
        <v>0.05</v>
      </c>
      <c r="E45" s="366"/>
      <c r="F45" s="367"/>
      <c r="G45" s="368">
        <f>(G39)*D45</f>
        <v>45846.830767711173</v>
      </c>
      <c r="H45" s="368"/>
      <c r="I45" s="369"/>
      <c r="J45" s="326">
        <f t="shared" si="3"/>
        <v>45846.830767711173</v>
      </c>
      <c r="K45" s="29"/>
      <c r="L45" s="29"/>
    </row>
    <row r="46" spans="1:12">
      <c r="A46" s="370"/>
      <c r="B46" s="370"/>
      <c r="C46" s="443"/>
      <c r="D46" s="646" t="s">
        <v>89</v>
      </c>
      <c r="E46" s="646"/>
      <c r="F46" s="646"/>
      <c r="G46" s="373">
        <f>G45+G44+G43+G42+G41+G40+G39</f>
        <v>1008012.4461219346</v>
      </c>
      <c r="H46" s="373"/>
      <c r="I46" s="373">
        <f t="shared" ref="I46" si="4">I45+I44+I43+I42+I41+I40+I39</f>
        <v>669593.42179314955</v>
      </c>
      <c r="J46" s="373">
        <f>J45+J44+J43+J42+J41+J40+J39</f>
        <v>338419.02432878519</v>
      </c>
      <c r="K46" s="29"/>
      <c r="L46" s="29"/>
    </row>
    <row r="47" spans="1:12" ht="6" customHeight="1">
      <c r="A47" s="11"/>
      <c r="B47" s="11"/>
      <c r="C47" s="12"/>
      <c r="D47" s="427"/>
      <c r="E47" s="428"/>
      <c r="F47" s="427"/>
      <c r="G47" s="16"/>
      <c r="H47" s="16"/>
      <c r="I47" s="374"/>
      <c r="J47" s="374"/>
      <c r="K47" s="29"/>
      <c r="L47" s="29"/>
    </row>
    <row r="48" spans="1:12">
      <c r="A48" s="11"/>
      <c r="B48" s="11"/>
      <c r="C48" s="455"/>
      <c r="D48" s="462"/>
      <c r="E48" s="428"/>
      <c r="F48" s="659" t="s">
        <v>394</v>
      </c>
      <c r="G48" s="660" t="s">
        <v>391</v>
      </c>
      <c r="H48" s="660" t="s">
        <v>392</v>
      </c>
      <c r="I48" s="661" t="s">
        <v>393</v>
      </c>
      <c r="J48" s="662" t="s">
        <v>386</v>
      </c>
      <c r="K48" s="29"/>
    </row>
    <row r="49" spans="1:19">
      <c r="A49" s="11"/>
      <c r="B49" s="326" t="s">
        <v>400</v>
      </c>
      <c r="C49" s="469">
        <f>I46*100/G46</f>
        <v>66.427098630501632</v>
      </c>
      <c r="D49" s="462" t="s">
        <v>94</v>
      </c>
      <c r="E49" s="13"/>
      <c r="F49" s="659"/>
      <c r="G49" s="660"/>
      <c r="H49" s="660"/>
      <c r="I49" s="661"/>
      <c r="J49" s="662"/>
      <c r="K49" s="29"/>
    </row>
    <row r="50" spans="1:19">
      <c r="A50" s="11"/>
      <c r="B50" s="326" t="s">
        <v>386</v>
      </c>
      <c r="C50" s="469">
        <f>100-C49</f>
        <v>33.572901369498368</v>
      </c>
      <c r="D50" s="462" t="s">
        <v>94</v>
      </c>
      <c r="E50" s="13"/>
      <c r="F50" s="464">
        <v>666049</v>
      </c>
      <c r="G50" s="9">
        <v>18268</v>
      </c>
      <c r="H50" s="9">
        <v>44691</v>
      </c>
      <c r="I50" s="463">
        <v>8462</v>
      </c>
      <c r="J50" s="465">
        <v>277736</v>
      </c>
      <c r="K50" s="29"/>
      <c r="M50" s="29"/>
      <c r="N50" s="29"/>
      <c r="O50" s="29"/>
      <c r="P50" s="29"/>
      <c r="Q50" s="29"/>
    </row>
    <row r="51" spans="1:19">
      <c r="A51" s="11"/>
      <c r="B51" s="424" t="s">
        <v>405</v>
      </c>
      <c r="C51" s="469">
        <f>F50/176</f>
        <v>3784.369318181818</v>
      </c>
      <c r="D51" s="468" t="s">
        <v>406</v>
      </c>
      <c r="E51" s="13"/>
      <c r="F51" s="30"/>
      <c r="G51" s="16"/>
      <c r="H51" s="16"/>
      <c r="I51" s="17"/>
      <c r="J51" s="374"/>
      <c r="K51" s="29"/>
      <c r="M51" s="26"/>
      <c r="N51" s="645"/>
      <c r="O51" s="645"/>
      <c r="P51" s="645"/>
      <c r="Q51" s="645"/>
    </row>
    <row r="52" spans="1:19">
      <c r="A52" s="11"/>
      <c r="B52" s="11"/>
      <c r="C52" s="454"/>
      <c r="D52" s="32"/>
      <c r="E52" s="24"/>
      <c r="F52" s="13"/>
      <c r="G52" s="16"/>
      <c r="H52" s="16"/>
      <c r="I52" s="17"/>
      <c r="J52" s="374"/>
      <c r="K52" s="29"/>
      <c r="M52" s="26"/>
      <c r="N52" s="453"/>
      <c r="O52" s="453"/>
      <c r="P52" s="453"/>
      <c r="Q52" s="453"/>
    </row>
    <row r="53" spans="1:19" s="29" customFormat="1">
      <c r="A53" s="27"/>
      <c r="B53" s="27"/>
      <c r="C53" s="27"/>
      <c r="D53" s="27"/>
      <c r="F53" s="30"/>
      <c r="G53" s="30"/>
      <c r="H53" s="30"/>
      <c r="I53" s="375"/>
      <c r="J53" s="375"/>
    </row>
    <row r="54" spans="1:19" s="29" customFormat="1" ht="35.25" customHeight="1">
      <c r="A54" s="27"/>
      <c r="B54" s="27"/>
      <c r="C54" s="467"/>
      <c r="D54" s="658"/>
      <c r="E54" s="658"/>
      <c r="F54" s="658"/>
      <c r="G54" s="658"/>
      <c r="H54" s="658"/>
      <c r="I54" s="658"/>
      <c r="J54" s="658"/>
      <c r="K54" s="201"/>
      <c r="L54" s="201"/>
      <c r="M54" s="466"/>
      <c r="N54" s="466"/>
      <c r="O54" s="466"/>
      <c r="P54" s="466"/>
      <c r="Q54" s="466"/>
      <c r="R54" s="466"/>
      <c r="S54" s="466"/>
    </row>
    <row r="55" spans="1:19" s="29" customFormat="1">
      <c r="A55" s="27"/>
      <c r="B55" s="27"/>
      <c r="C55" s="27"/>
      <c r="D55" s="27"/>
      <c r="F55" s="30"/>
      <c r="G55" s="30"/>
      <c r="H55" s="30"/>
      <c r="I55" s="375"/>
      <c r="J55" s="375"/>
      <c r="M55" s="30"/>
      <c r="N55" s="30"/>
    </row>
    <row r="56" spans="1:19" s="29" customFormat="1">
      <c r="A56" s="27"/>
      <c r="B56" s="27"/>
      <c r="C56" s="27"/>
      <c r="D56" s="27"/>
      <c r="F56" s="30"/>
      <c r="G56" s="30"/>
      <c r="H56" s="30"/>
      <c r="I56" s="375"/>
      <c r="J56" s="375"/>
    </row>
    <row r="57" spans="1:19" s="29" customFormat="1">
      <c r="A57" s="27"/>
      <c r="B57" s="27"/>
      <c r="C57" s="27"/>
      <c r="D57" s="27"/>
      <c r="F57" s="30"/>
      <c r="G57" s="30"/>
      <c r="H57" s="30"/>
      <c r="I57" s="375"/>
      <c r="J57" s="375"/>
    </row>
    <row r="58" spans="1:19" s="29" customFormat="1">
      <c r="A58" s="27"/>
      <c r="B58" s="27"/>
      <c r="C58" s="27"/>
      <c r="D58" s="27"/>
      <c r="F58" s="30"/>
      <c r="G58" s="30"/>
      <c r="H58" s="30"/>
      <c r="I58" s="375"/>
      <c r="J58" s="375"/>
    </row>
    <row r="59" spans="1:19" s="29" customFormat="1">
      <c r="A59" s="27"/>
      <c r="B59" s="27"/>
      <c r="C59" s="27"/>
      <c r="D59" s="27"/>
      <c r="F59" s="30"/>
      <c r="G59" s="30"/>
      <c r="H59" s="30"/>
      <c r="I59" s="375"/>
      <c r="J59" s="375"/>
    </row>
    <row r="60" spans="1:19" s="29" customFormat="1">
      <c r="A60" s="27"/>
      <c r="B60" s="27"/>
      <c r="C60" s="27"/>
      <c r="D60" s="27"/>
      <c r="F60" s="30"/>
      <c r="G60" s="30"/>
      <c r="H60" s="30"/>
      <c r="I60" s="375"/>
      <c r="J60" s="375"/>
    </row>
    <row r="61" spans="1:19" s="29" customFormat="1">
      <c r="A61" s="27"/>
      <c r="B61" s="27"/>
      <c r="C61" s="27"/>
      <c r="D61" s="27"/>
      <c r="F61" s="30"/>
      <c r="G61" s="30"/>
      <c r="H61" s="30"/>
      <c r="I61" s="375"/>
      <c r="J61" s="375"/>
    </row>
    <row r="62" spans="1:19" s="29" customFormat="1">
      <c r="A62" s="27"/>
      <c r="B62" s="27"/>
      <c r="C62" s="27"/>
      <c r="D62" s="27"/>
      <c r="F62" s="30"/>
      <c r="G62" s="30"/>
      <c r="H62" s="30"/>
      <c r="I62" s="375"/>
      <c r="J62" s="375"/>
    </row>
    <row r="63" spans="1:19" s="29" customFormat="1">
      <c r="A63" s="27"/>
      <c r="B63" s="27"/>
      <c r="C63" s="27"/>
      <c r="D63" s="27"/>
      <c r="F63" s="30"/>
      <c r="G63" s="30"/>
      <c r="H63" s="30"/>
      <c r="I63" s="375"/>
      <c r="J63" s="375"/>
    </row>
    <row r="64" spans="1:19" s="29" customFormat="1">
      <c r="A64" s="27"/>
      <c r="B64" s="27"/>
      <c r="C64" s="27"/>
      <c r="D64" s="27"/>
      <c r="F64" s="30"/>
      <c r="G64" s="30"/>
      <c r="H64" s="30"/>
      <c r="I64" s="375"/>
      <c r="J64" s="375"/>
    </row>
    <row r="65" spans="1:10" s="29" customFormat="1">
      <c r="A65" s="27"/>
      <c r="B65" s="27"/>
      <c r="C65" s="27"/>
      <c r="D65" s="27"/>
      <c r="F65" s="30"/>
      <c r="G65" s="30"/>
      <c r="H65" s="30"/>
      <c r="I65" s="375"/>
      <c r="J65" s="375"/>
    </row>
    <row r="66" spans="1:10" s="29" customFormat="1">
      <c r="A66" s="27"/>
      <c r="B66" s="27"/>
      <c r="C66" s="27"/>
      <c r="D66" s="27"/>
      <c r="F66" s="30"/>
      <c r="G66" s="30"/>
      <c r="H66" s="30"/>
      <c r="I66" s="375"/>
      <c r="J66" s="375"/>
    </row>
    <row r="67" spans="1:10" s="29" customFormat="1">
      <c r="A67" s="27"/>
      <c r="B67" s="27"/>
      <c r="C67" s="27"/>
      <c r="D67" s="27"/>
      <c r="F67" s="30"/>
      <c r="G67" s="30"/>
      <c r="H67" s="30"/>
      <c r="I67" s="375"/>
      <c r="J67" s="375"/>
    </row>
    <row r="68" spans="1:10" s="29" customFormat="1">
      <c r="A68" s="27"/>
      <c r="B68" s="27"/>
      <c r="C68" s="27"/>
      <c r="D68" s="27"/>
      <c r="F68" s="30"/>
      <c r="G68" s="30"/>
      <c r="H68" s="30"/>
      <c r="I68" s="375"/>
      <c r="J68" s="375"/>
    </row>
    <row r="69" spans="1:10" s="29" customFormat="1">
      <c r="A69" s="27"/>
      <c r="B69" s="27"/>
      <c r="C69" s="27"/>
      <c r="D69" s="27"/>
      <c r="F69" s="30"/>
      <c r="G69" s="30"/>
      <c r="H69" s="30"/>
      <c r="I69" s="375"/>
      <c r="J69" s="375"/>
    </row>
    <row r="70" spans="1:10" s="29" customFormat="1">
      <c r="A70" s="27"/>
      <c r="B70" s="27"/>
      <c r="C70" s="27"/>
      <c r="D70" s="27"/>
      <c r="F70" s="30"/>
      <c r="G70" s="30"/>
      <c r="H70" s="30"/>
      <c r="I70" s="375"/>
      <c r="J70" s="375"/>
    </row>
    <row r="71" spans="1:10" s="29" customFormat="1">
      <c r="A71" s="27"/>
      <c r="B71" s="27"/>
      <c r="C71" s="27"/>
      <c r="D71" s="27"/>
      <c r="F71" s="30"/>
      <c r="G71" s="30"/>
      <c r="H71" s="30"/>
      <c r="I71" s="375"/>
      <c r="J71" s="375"/>
    </row>
    <row r="72" spans="1:10" s="29" customFormat="1">
      <c r="A72" s="27"/>
      <c r="B72" s="27"/>
      <c r="C72" s="27"/>
      <c r="D72" s="27"/>
      <c r="F72" s="30"/>
      <c r="G72" s="30"/>
      <c r="H72" s="30"/>
      <c r="I72" s="375"/>
      <c r="J72" s="375"/>
    </row>
    <row r="73" spans="1:10" s="29" customFormat="1">
      <c r="A73" s="27"/>
      <c r="B73" s="27"/>
      <c r="C73" s="27"/>
      <c r="D73" s="27"/>
      <c r="F73" s="30"/>
      <c r="G73" s="30"/>
      <c r="H73" s="30"/>
      <c r="I73" s="375"/>
      <c r="J73" s="375"/>
    </row>
    <row r="74" spans="1:10" s="29" customFormat="1">
      <c r="A74" s="27"/>
      <c r="B74" s="27"/>
      <c r="C74" s="27"/>
      <c r="D74" s="27"/>
      <c r="F74" s="30"/>
      <c r="G74" s="30"/>
      <c r="H74" s="30"/>
      <c r="I74" s="375"/>
      <c r="J74" s="375"/>
    </row>
    <row r="75" spans="1:10" s="29" customFormat="1">
      <c r="A75" s="27"/>
      <c r="B75" s="27"/>
      <c r="C75" s="27"/>
      <c r="D75" s="27"/>
      <c r="F75" s="30"/>
      <c r="G75" s="30"/>
      <c r="H75" s="30"/>
      <c r="I75" s="375"/>
      <c r="J75" s="375"/>
    </row>
    <row r="76" spans="1:10" s="29" customFormat="1">
      <c r="A76" s="27"/>
      <c r="B76" s="27"/>
      <c r="C76" s="27"/>
      <c r="D76" s="27"/>
      <c r="F76" s="30"/>
      <c r="G76" s="30"/>
      <c r="H76" s="30"/>
      <c r="I76" s="375"/>
      <c r="J76" s="375"/>
    </row>
    <row r="77" spans="1:10" s="29" customFormat="1">
      <c r="A77" s="27"/>
      <c r="B77" s="27"/>
      <c r="C77" s="27"/>
      <c r="D77" s="27"/>
      <c r="F77" s="30"/>
      <c r="G77" s="30"/>
      <c r="H77" s="30"/>
      <c r="I77" s="375"/>
      <c r="J77" s="375"/>
    </row>
    <row r="78" spans="1:10" s="29" customFormat="1">
      <c r="A78" s="27"/>
      <c r="B78" s="27"/>
      <c r="C78" s="27"/>
      <c r="D78" s="27"/>
      <c r="F78" s="30"/>
      <c r="G78" s="30"/>
      <c r="H78" s="30"/>
      <c r="I78" s="375"/>
      <c r="J78" s="375"/>
    </row>
    <row r="79" spans="1:10" s="29" customFormat="1">
      <c r="A79" s="27"/>
      <c r="B79" s="27"/>
      <c r="C79" s="27"/>
      <c r="D79" s="27"/>
      <c r="F79" s="30"/>
      <c r="G79" s="30"/>
      <c r="H79" s="30"/>
      <c r="I79" s="375"/>
      <c r="J79" s="375"/>
    </row>
    <row r="80" spans="1:10" s="29" customFormat="1">
      <c r="A80" s="27"/>
      <c r="B80" s="27"/>
      <c r="C80" s="27"/>
      <c r="D80" s="27"/>
      <c r="F80" s="30"/>
      <c r="G80" s="30"/>
      <c r="H80" s="30"/>
      <c r="I80" s="375"/>
      <c r="J80" s="375"/>
    </row>
    <row r="81" spans="1:10" s="29" customFormat="1">
      <c r="A81" s="27"/>
      <c r="B81" s="27"/>
      <c r="C81" s="27"/>
      <c r="D81" s="27"/>
      <c r="F81" s="30"/>
      <c r="G81" s="30"/>
      <c r="H81" s="30"/>
      <c r="I81" s="375"/>
      <c r="J81" s="375"/>
    </row>
    <row r="82" spans="1:10" s="29" customFormat="1">
      <c r="A82" s="27"/>
      <c r="B82" s="27"/>
      <c r="C82" s="27"/>
      <c r="D82" s="27"/>
      <c r="F82" s="30"/>
      <c r="G82" s="30"/>
      <c r="H82" s="30"/>
      <c r="I82" s="375"/>
      <c r="J82" s="375"/>
    </row>
    <row r="83" spans="1:10" s="29" customFormat="1">
      <c r="A83" s="27"/>
      <c r="B83" s="27"/>
      <c r="C83" s="27"/>
      <c r="D83" s="27"/>
      <c r="F83" s="30"/>
      <c r="G83" s="30"/>
      <c r="H83" s="30"/>
      <c r="I83" s="375"/>
      <c r="J83" s="375"/>
    </row>
    <row r="84" spans="1:10" s="29" customFormat="1">
      <c r="A84" s="27"/>
      <c r="B84" s="27"/>
      <c r="C84" s="27"/>
      <c r="D84" s="27"/>
      <c r="F84" s="30"/>
      <c r="G84" s="30"/>
      <c r="H84" s="30"/>
      <c r="I84" s="375"/>
      <c r="J84" s="375"/>
    </row>
    <row r="85" spans="1:10" s="29" customFormat="1">
      <c r="A85" s="27"/>
      <c r="B85" s="27"/>
      <c r="C85" s="27"/>
      <c r="D85" s="27"/>
      <c r="F85" s="30"/>
      <c r="G85" s="30"/>
      <c r="H85" s="30"/>
      <c r="I85" s="375"/>
      <c r="J85" s="375"/>
    </row>
    <row r="86" spans="1:10" s="29" customFormat="1">
      <c r="A86" s="27"/>
      <c r="B86" s="27"/>
      <c r="C86" s="27"/>
      <c r="D86" s="27"/>
      <c r="F86" s="30"/>
      <c r="G86" s="30"/>
      <c r="H86" s="30"/>
      <c r="I86" s="375"/>
      <c r="J86" s="375"/>
    </row>
    <row r="87" spans="1:10" s="29" customFormat="1">
      <c r="A87" s="27"/>
      <c r="B87" s="27"/>
      <c r="C87" s="27"/>
      <c r="D87" s="27"/>
      <c r="F87" s="30"/>
      <c r="G87" s="30"/>
      <c r="H87" s="30"/>
      <c r="I87" s="375"/>
      <c r="J87" s="375"/>
    </row>
    <row r="88" spans="1:10" s="29" customFormat="1">
      <c r="A88" s="27"/>
      <c r="B88" s="27"/>
      <c r="C88" s="27"/>
      <c r="D88" s="27"/>
      <c r="F88" s="30"/>
      <c r="G88" s="30"/>
      <c r="H88" s="30"/>
      <c r="I88" s="375"/>
      <c r="J88" s="375"/>
    </row>
    <row r="89" spans="1:10" s="29" customFormat="1">
      <c r="A89" s="27"/>
      <c r="B89" s="27"/>
      <c r="C89" s="27"/>
      <c r="D89" s="27"/>
      <c r="F89" s="30"/>
      <c r="G89" s="30"/>
      <c r="H89" s="30"/>
      <c r="I89" s="375"/>
      <c r="J89" s="375"/>
    </row>
    <row r="90" spans="1:10" s="29" customFormat="1">
      <c r="A90" s="27"/>
      <c r="B90" s="27"/>
      <c r="C90" s="27"/>
      <c r="D90" s="27"/>
      <c r="F90" s="30"/>
      <c r="G90" s="30"/>
      <c r="H90" s="30"/>
      <c r="I90" s="375"/>
      <c r="J90" s="375"/>
    </row>
    <row r="91" spans="1:10" s="29" customFormat="1">
      <c r="A91" s="27"/>
      <c r="B91" s="27"/>
      <c r="C91" s="27"/>
      <c r="D91" s="27"/>
      <c r="F91" s="30"/>
      <c r="G91" s="30"/>
      <c r="H91" s="30"/>
      <c r="I91" s="375"/>
      <c r="J91" s="375"/>
    </row>
    <row r="92" spans="1:10" s="29" customFormat="1">
      <c r="A92" s="27"/>
      <c r="B92" s="27"/>
      <c r="C92" s="27"/>
      <c r="D92" s="27"/>
      <c r="F92" s="30"/>
      <c r="G92" s="30"/>
      <c r="H92" s="30"/>
      <c r="I92" s="375"/>
      <c r="J92" s="375"/>
    </row>
    <row r="93" spans="1:10" s="29" customFormat="1">
      <c r="A93" s="27"/>
      <c r="B93" s="27"/>
      <c r="C93" s="27"/>
      <c r="D93" s="27"/>
      <c r="F93" s="30"/>
      <c r="G93" s="30"/>
      <c r="H93" s="30"/>
      <c r="I93" s="375"/>
      <c r="J93" s="375"/>
    </row>
    <row r="94" spans="1:10" s="29" customFormat="1">
      <c r="A94" s="27"/>
      <c r="B94" s="27"/>
      <c r="C94" s="27"/>
      <c r="D94" s="27"/>
      <c r="F94" s="30"/>
      <c r="G94" s="30"/>
      <c r="H94" s="30"/>
      <c r="I94" s="375"/>
      <c r="J94" s="375"/>
    </row>
    <row r="95" spans="1:10" s="29" customFormat="1">
      <c r="A95" s="27"/>
      <c r="B95" s="27"/>
      <c r="C95" s="27"/>
      <c r="D95" s="27"/>
      <c r="F95" s="30"/>
      <c r="G95" s="30"/>
      <c r="H95" s="30"/>
      <c r="I95" s="375"/>
      <c r="J95" s="375"/>
    </row>
    <row r="96" spans="1:10" s="29" customFormat="1">
      <c r="A96" s="27"/>
      <c r="B96" s="27"/>
      <c r="C96" s="27"/>
      <c r="D96" s="27"/>
      <c r="F96" s="30"/>
      <c r="G96" s="30"/>
      <c r="H96" s="30"/>
      <c r="I96" s="375"/>
      <c r="J96" s="375"/>
    </row>
    <row r="97" spans="1:10" s="29" customFormat="1">
      <c r="A97" s="27"/>
      <c r="B97" s="27"/>
      <c r="C97" s="27"/>
      <c r="D97" s="27"/>
      <c r="F97" s="30"/>
      <c r="G97" s="30"/>
      <c r="H97" s="30"/>
      <c r="I97" s="375"/>
      <c r="J97" s="375"/>
    </row>
    <row r="98" spans="1:10" s="29" customFormat="1">
      <c r="A98" s="27"/>
      <c r="B98" s="27"/>
      <c r="C98" s="27"/>
      <c r="D98" s="27"/>
      <c r="F98" s="30"/>
      <c r="G98" s="30"/>
      <c r="H98" s="30"/>
      <c r="I98" s="375"/>
      <c r="J98" s="375"/>
    </row>
    <row r="99" spans="1:10" s="29" customFormat="1">
      <c r="A99" s="27"/>
      <c r="B99" s="27"/>
      <c r="C99" s="27"/>
      <c r="D99" s="27"/>
      <c r="F99" s="30"/>
      <c r="G99" s="30"/>
      <c r="H99" s="30"/>
      <c r="I99" s="375"/>
      <c r="J99" s="375"/>
    </row>
    <row r="100" spans="1:10" s="29" customFormat="1">
      <c r="A100" s="27"/>
      <c r="B100" s="27"/>
      <c r="C100" s="27"/>
      <c r="D100" s="27"/>
      <c r="F100" s="30"/>
      <c r="G100" s="30"/>
      <c r="H100" s="30"/>
      <c r="I100" s="375"/>
      <c r="J100" s="375"/>
    </row>
    <row r="101" spans="1:10" s="29" customFormat="1">
      <c r="A101" s="27"/>
      <c r="B101" s="27"/>
      <c r="C101" s="27"/>
      <c r="D101" s="27"/>
      <c r="F101" s="30"/>
      <c r="G101" s="30"/>
      <c r="H101" s="30"/>
      <c r="I101" s="375"/>
      <c r="J101" s="375"/>
    </row>
    <row r="102" spans="1:10" s="29" customFormat="1">
      <c r="A102" s="27"/>
      <c r="B102" s="27"/>
      <c r="C102" s="27"/>
      <c r="D102" s="27"/>
      <c r="F102" s="30"/>
      <c r="G102" s="30"/>
      <c r="H102" s="30"/>
      <c r="I102" s="375"/>
      <c r="J102" s="375"/>
    </row>
    <row r="103" spans="1:10" s="29" customFormat="1">
      <c r="A103" s="27"/>
      <c r="B103" s="27"/>
      <c r="C103" s="27"/>
      <c r="D103" s="27"/>
      <c r="F103" s="30"/>
      <c r="G103" s="30"/>
      <c r="H103" s="30"/>
      <c r="I103" s="375"/>
      <c r="J103" s="375"/>
    </row>
    <row r="104" spans="1:10" s="29" customFormat="1">
      <c r="A104" s="27"/>
      <c r="B104" s="27"/>
      <c r="C104" s="27"/>
      <c r="D104" s="27"/>
      <c r="F104" s="30"/>
      <c r="G104" s="30"/>
      <c r="H104" s="30"/>
      <c r="I104" s="375"/>
      <c r="J104" s="375"/>
    </row>
    <row r="105" spans="1:10" s="29" customFormat="1">
      <c r="A105" s="27"/>
      <c r="B105" s="27"/>
      <c r="C105" s="27"/>
      <c r="D105" s="27"/>
      <c r="F105" s="30"/>
      <c r="G105" s="30"/>
      <c r="H105" s="30"/>
      <c r="I105" s="375"/>
      <c r="J105" s="375"/>
    </row>
    <row r="106" spans="1:10" s="29" customFormat="1">
      <c r="A106" s="27"/>
      <c r="B106" s="27"/>
      <c r="C106" s="27"/>
      <c r="D106" s="27"/>
      <c r="F106" s="30"/>
      <c r="G106" s="30"/>
      <c r="H106" s="30"/>
      <c r="I106" s="375"/>
      <c r="J106" s="375"/>
    </row>
    <row r="107" spans="1:10" s="29" customFormat="1">
      <c r="A107" s="27"/>
      <c r="B107" s="27"/>
      <c r="C107" s="27"/>
      <c r="D107" s="27"/>
      <c r="F107" s="30"/>
      <c r="G107" s="30"/>
      <c r="H107" s="30"/>
      <c r="I107" s="375"/>
      <c r="J107" s="375"/>
    </row>
    <row r="108" spans="1:10" s="29" customFormat="1">
      <c r="A108" s="27"/>
      <c r="B108" s="27"/>
      <c r="C108" s="27"/>
      <c r="D108" s="27"/>
      <c r="F108" s="30"/>
      <c r="G108" s="30"/>
      <c r="H108" s="30"/>
      <c r="I108" s="375"/>
      <c r="J108" s="375"/>
    </row>
    <row r="109" spans="1:10" s="29" customFormat="1">
      <c r="A109" s="27"/>
      <c r="B109" s="27"/>
      <c r="C109" s="27"/>
      <c r="D109" s="27"/>
      <c r="F109" s="30"/>
      <c r="G109" s="30"/>
      <c r="H109" s="30"/>
      <c r="I109" s="375"/>
      <c r="J109" s="375"/>
    </row>
    <row r="110" spans="1:10" s="29" customFormat="1">
      <c r="A110" s="27"/>
      <c r="B110" s="27"/>
      <c r="C110" s="27"/>
      <c r="D110" s="27"/>
      <c r="F110" s="30"/>
      <c r="G110" s="30"/>
      <c r="H110" s="30"/>
      <c r="I110" s="375"/>
      <c r="J110" s="375"/>
    </row>
    <row r="111" spans="1:10" s="29" customFormat="1">
      <c r="A111" s="27"/>
      <c r="B111" s="27"/>
      <c r="C111" s="27"/>
      <c r="D111" s="27"/>
      <c r="F111" s="30"/>
      <c r="G111" s="30"/>
      <c r="H111" s="30"/>
      <c r="I111" s="375"/>
      <c r="J111" s="375"/>
    </row>
    <row r="112" spans="1:10" s="29" customFormat="1">
      <c r="A112" s="27"/>
      <c r="B112" s="27"/>
      <c r="C112" s="27"/>
      <c r="D112" s="27"/>
      <c r="F112" s="30"/>
      <c r="G112" s="30"/>
      <c r="H112" s="30"/>
      <c r="I112" s="375"/>
      <c r="J112" s="375"/>
    </row>
    <row r="113" spans="1:10" s="29" customFormat="1">
      <c r="A113" s="27"/>
      <c r="B113" s="27"/>
      <c r="C113" s="27"/>
      <c r="D113" s="27"/>
      <c r="F113" s="30"/>
      <c r="G113" s="30"/>
      <c r="H113" s="30"/>
      <c r="I113" s="375"/>
      <c r="J113" s="375"/>
    </row>
    <row r="114" spans="1:10" s="29" customFormat="1">
      <c r="A114" s="27"/>
      <c r="B114" s="27"/>
      <c r="C114" s="27"/>
      <c r="D114" s="27"/>
      <c r="F114" s="30"/>
      <c r="G114" s="30"/>
      <c r="H114" s="30"/>
      <c r="I114" s="375"/>
      <c r="J114" s="375"/>
    </row>
    <row r="115" spans="1:10" s="29" customFormat="1">
      <c r="A115" s="27"/>
      <c r="B115" s="27"/>
      <c r="C115" s="27"/>
      <c r="D115" s="27"/>
      <c r="F115" s="30"/>
      <c r="G115" s="30"/>
      <c r="H115" s="30"/>
      <c r="I115" s="375"/>
      <c r="J115" s="375"/>
    </row>
    <row r="116" spans="1:10" s="29" customFormat="1">
      <c r="A116" s="27"/>
      <c r="B116" s="27"/>
      <c r="C116" s="27"/>
      <c r="D116" s="27"/>
      <c r="F116" s="30"/>
      <c r="G116" s="30"/>
      <c r="H116" s="30"/>
      <c r="I116" s="375"/>
      <c r="J116" s="375"/>
    </row>
    <row r="117" spans="1:10" s="29" customFormat="1">
      <c r="A117" s="27"/>
      <c r="B117" s="27"/>
      <c r="C117" s="27"/>
      <c r="D117" s="27"/>
      <c r="F117" s="30"/>
      <c r="G117" s="30"/>
      <c r="H117" s="30"/>
      <c r="I117" s="375"/>
      <c r="J117" s="375"/>
    </row>
    <row r="118" spans="1:10" s="29" customFormat="1">
      <c r="A118" s="27"/>
      <c r="B118" s="27"/>
      <c r="C118" s="27"/>
      <c r="D118" s="27"/>
      <c r="F118" s="30"/>
      <c r="G118" s="30"/>
      <c r="H118" s="30"/>
      <c r="I118" s="375"/>
      <c r="J118" s="375"/>
    </row>
    <row r="119" spans="1:10" s="29" customFormat="1">
      <c r="A119" s="27"/>
      <c r="B119" s="27"/>
      <c r="C119" s="27"/>
      <c r="D119" s="27"/>
      <c r="F119" s="30"/>
      <c r="G119" s="30"/>
      <c r="H119" s="30"/>
      <c r="I119" s="375"/>
      <c r="J119" s="375"/>
    </row>
    <row r="120" spans="1:10" s="29" customFormat="1">
      <c r="A120" s="27"/>
      <c r="B120" s="27"/>
      <c r="C120" s="27"/>
      <c r="D120" s="27"/>
      <c r="F120" s="30"/>
      <c r="G120" s="30"/>
      <c r="H120" s="30"/>
      <c r="I120" s="375"/>
      <c r="J120" s="375"/>
    </row>
    <row r="121" spans="1:10" s="29" customFormat="1">
      <c r="A121" s="27"/>
      <c r="B121" s="27"/>
      <c r="C121" s="27"/>
      <c r="D121" s="27"/>
      <c r="F121" s="30"/>
      <c r="G121" s="30"/>
      <c r="H121" s="30"/>
      <c r="I121" s="375"/>
      <c r="J121" s="375"/>
    </row>
    <row r="122" spans="1:10" s="29" customFormat="1">
      <c r="A122" s="27"/>
      <c r="B122" s="27"/>
      <c r="C122" s="27"/>
      <c r="D122" s="27"/>
      <c r="F122" s="30"/>
      <c r="G122" s="30"/>
      <c r="H122" s="30"/>
      <c r="I122" s="375"/>
      <c r="J122" s="375"/>
    </row>
    <row r="123" spans="1:10" s="29" customFormat="1">
      <c r="A123" s="27"/>
      <c r="B123" s="27"/>
      <c r="C123" s="27"/>
      <c r="D123" s="27"/>
      <c r="F123" s="30"/>
      <c r="G123" s="30"/>
      <c r="H123" s="30"/>
      <c r="I123" s="375"/>
      <c r="J123" s="375"/>
    </row>
    <row r="124" spans="1:10" s="29" customFormat="1">
      <c r="A124" s="27"/>
      <c r="B124" s="27"/>
      <c r="C124" s="27"/>
      <c r="D124" s="27"/>
      <c r="F124" s="30"/>
      <c r="G124" s="30"/>
      <c r="H124" s="30"/>
      <c r="I124" s="375"/>
      <c r="J124" s="375"/>
    </row>
    <row r="125" spans="1:10" s="29" customFormat="1">
      <c r="A125" s="27"/>
      <c r="B125" s="27"/>
      <c r="C125" s="27"/>
      <c r="D125" s="27"/>
      <c r="F125" s="30"/>
      <c r="G125" s="30"/>
      <c r="H125" s="30"/>
      <c r="I125" s="375"/>
      <c r="J125" s="375"/>
    </row>
    <row r="126" spans="1:10" s="29" customFormat="1">
      <c r="A126" s="27"/>
      <c r="B126" s="27"/>
      <c r="C126" s="27"/>
      <c r="D126" s="27"/>
      <c r="F126" s="30"/>
      <c r="G126" s="30"/>
      <c r="H126" s="30"/>
      <c r="I126" s="375"/>
      <c r="J126" s="375"/>
    </row>
    <row r="127" spans="1:10" s="29" customFormat="1">
      <c r="A127" s="27"/>
      <c r="B127" s="27"/>
      <c r="C127" s="27"/>
      <c r="D127" s="27"/>
      <c r="F127" s="30"/>
      <c r="G127" s="30"/>
      <c r="H127" s="30"/>
      <c r="I127" s="375"/>
      <c r="J127" s="375"/>
    </row>
    <row r="128" spans="1:10" s="29" customFormat="1">
      <c r="A128" s="27"/>
      <c r="B128" s="27"/>
      <c r="C128" s="27"/>
      <c r="D128" s="27"/>
      <c r="F128" s="30"/>
      <c r="G128" s="30"/>
      <c r="H128" s="30"/>
      <c r="I128" s="375"/>
      <c r="J128" s="375"/>
    </row>
    <row r="129" spans="1:10" s="29" customFormat="1">
      <c r="A129" s="27"/>
      <c r="B129" s="27"/>
      <c r="C129" s="27"/>
      <c r="D129" s="27"/>
      <c r="F129" s="30"/>
      <c r="G129" s="30"/>
      <c r="H129" s="30"/>
      <c r="I129" s="375"/>
      <c r="J129" s="375"/>
    </row>
    <row r="130" spans="1:10" s="29" customFormat="1">
      <c r="A130" s="27"/>
      <c r="B130" s="27"/>
      <c r="C130" s="27"/>
      <c r="D130" s="27"/>
      <c r="F130" s="30"/>
      <c r="G130" s="30"/>
      <c r="H130" s="30"/>
      <c r="I130" s="375"/>
      <c r="J130" s="375"/>
    </row>
    <row r="131" spans="1:10" s="29" customFormat="1">
      <c r="A131" s="27"/>
      <c r="B131" s="27"/>
      <c r="C131" s="27"/>
      <c r="D131" s="27"/>
      <c r="F131" s="30"/>
      <c r="G131" s="30"/>
      <c r="H131" s="30"/>
      <c r="I131" s="375"/>
      <c r="J131" s="375"/>
    </row>
    <row r="132" spans="1:10" s="29" customFormat="1">
      <c r="A132" s="27"/>
      <c r="B132" s="27"/>
      <c r="C132" s="27"/>
      <c r="D132" s="27"/>
      <c r="F132" s="30"/>
      <c r="G132" s="30"/>
      <c r="H132" s="30"/>
      <c r="I132" s="375"/>
      <c r="J132" s="375"/>
    </row>
    <row r="133" spans="1:10" s="29" customFormat="1">
      <c r="A133" s="27"/>
      <c r="B133" s="27"/>
      <c r="C133" s="27"/>
      <c r="D133" s="27"/>
      <c r="F133" s="30"/>
      <c r="G133" s="30"/>
      <c r="H133" s="30"/>
      <c r="I133" s="375"/>
      <c r="J133" s="375"/>
    </row>
    <row r="134" spans="1:10" s="29" customFormat="1">
      <c r="A134" s="27"/>
      <c r="B134" s="27"/>
      <c r="C134" s="27"/>
      <c r="D134" s="27"/>
      <c r="F134" s="30"/>
      <c r="G134" s="30"/>
      <c r="H134" s="30"/>
      <c r="I134" s="375"/>
      <c r="J134" s="375"/>
    </row>
    <row r="135" spans="1:10" s="29" customFormat="1">
      <c r="A135" s="27"/>
      <c r="B135" s="27"/>
      <c r="C135" s="27"/>
      <c r="D135" s="27"/>
      <c r="F135" s="30"/>
      <c r="G135" s="30"/>
      <c r="H135" s="30"/>
      <c r="I135" s="375"/>
      <c r="J135" s="375"/>
    </row>
    <row r="136" spans="1:10" s="29" customFormat="1">
      <c r="A136" s="27"/>
      <c r="B136" s="27"/>
      <c r="C136" s="27"/>
      <c r="D136" s="27"/>
      <c r="F136" s="30"/>
      <c r="G136" s="30"/>
      <c r="H136" s="30"/>
      <c r="I136" s="375"/>
      <c r="J136" s="375"/>
    </row>
    <row r="137" spans="1:10" s="29" customFormat="1">
      <c r="A137" s="27"/>
      <c r="B137" s="27"/>
      <c r="C137" s="27"/>
      <c r="D137" s="27"/>
      <c r="F137" s="30"/>
      <c r="G137" s="30"/>
      <c r="H137" s="30"/>
      <c r="I137" s="375"/>
      <c r="J137" s="375"/>
    </row>
    <row r="138" spans="1:10" s="29" customFormat="1">
      <c r="A138" s="27"/>
      <c r="B138" s="27"/>
      <c r="C138" s="27"/>
      <c r="D138" s="27"/>
      <c r="F138" s="30"/>
      <c r="G138" s="30"/>
      <c r="H138" s="30"/>
      <c r="I138" s="375"/>
      <c r="J138" s="375"/>
    </row>
    <row r="139" spans="1:10" s="29" customFormat="1">
      <c r="A139" s="27"/>
      <c r="B139" s="27"/>
      <c r="C139" s="27"/>
      <c r="D139" s="27"/>
      <c r="F139" s="30"/>
      <c r="G139" s="30"/>
      <c r="H139" s="30"/>
      <c r="I139" s="375"/>
      <c r="J139" s="375"/>
    </row>
    <row r="140" spans="1:10" s="29" customFormat="1">
      <c r="A140" s="27"/>
      <c r="B140" s="27"/>
      <c r="C140" s="27"/>
      <c r="D140" s="27"/>
      <c r="F140" s="30"/>
      <c r="G140" s="30"/>
      <c r="H140" s="30"/>
      <c r="I140" s="375"/>
      <c r="J140" s="375"/>
    </row>
    <row r="141" spans="1:10" s="29" customFormat="1">
      <c r="A141" s="27"/>
      <c r="B141" s="27"/>
      <c r="C141" s="27"/>
      <c r="D141" s="27"/>
      <c r="F141" s="30"/>
      <c r="G141" s="30"/>
      <c r="H141" s="30"/>
      <c r="I141" s="375"/>
      <c r="J141" s="375"/>
    </row>
    <row r="142" spans="1:10" s="29" customFormat="1">
      <c r="A142" s="27"/>
      <c r="B142" s="27"/>
      <c r="C142" s="27"/>
      <c r="D142" s="27"/>
      <c r="F142" s="30"/>
      <c r="G142" s="30"/>
      <c r="H142" s="30"/>
      <c r="I142" s="375"/>
      <c r="J142" s="375"/>
    </row>
    <row r="143" spans="1:10" s="29" customFormat="1">
      <c r="A143" s="27"/>
      <c r="B143" s="27"/>
      <c r="C143" s="27"/>
      <c r="D143" s="27"/>
      <c r="F143" s="30"/>
      <c r="G143" s="30"/>
      <c r="H143" s="30"/>
      <c r="I143" s="375"/>
      <c r="J143" s="375"/>
    </row>
    <row r="144" spans="1:10" s="29" customFormat="1">
      <c r="A144" s="27"/>
      <c r="B144" s="27"/>
      <c r="C144" s="27"/>
      <c r="D144" s="27"/>
      <c r="F144" s="30"/>
      <c r="G144" s="30"/>
      <c r="H144" s="30"/>
      <c r="I144" s="375"/>
      <c r="J144" s="375"/>
    </row>
    <row r="145" spans="1:10" s="29" customFormat="1">
      <c r="A145" s="27"/>
      <c r="B145" s="27"/>
      <c r="C145" s="27"/>
      <c r="D145" s="27"/>
      <c r="F145" s="30"/>
      <c r="G145" s="30"/>
      <c r="H145" s="30"/>
      <c r="I145" s="375"/>
      <c r="J145" s="375"/>
    </row>
    <row r="146" spans="1:10" s="29" customFormat="1">
      <c r="A146" s="27"/>
      <c r="B146" s="27"/>
      <c r="C146" s="27"/>
      <c r="D146" s="27"/>
      <c r="F146" s="30"/>
      <c r="G146" s="30"/>
      <c r="H146" s="30"/>
      <c r="I146" s="375"/>
      <c r="J146" s="375"/>
    </row>
    <row r="147" spans="1:10" s="29" customFormat="1">
      <c r="A147" s="27"/>
      <c r="B147" s="27"/>
      <c r="C147" s="27"/>
      <c r="D147" s="27"/>
      <c r="F147" s="30"/>
      <c r="G147" s="30"/>
      <c r="H147" s="30"/>
      <c r="I147" s="375"/>
      <c r="J147" s="375"/>
    </row>
    <row r="148" spans="1:10" s="29" customFormat="1">
      <c r="A148" s="27"/>
      <c r="B148" s="27"/>
      <c r="C148" s="27"/>
      <c r="D148" s="27"/>
      <c r="F148" s="30"/>
      <c r="G148" s="30"/>
      <c r="H148" s="30"/>
      <c r="I148" s="375"/>
      <c r="J148" s="375"/>
    </row>
    <row r="149" spans="1:10" s="29" customFormat="1">
      <c r="A149" s="27"/>
      <c r="B149" s="27"/>
      <c r="C149" s="27"/>
      <c r="D149" s="27"/>
      <c r="F149" s="30"/>
      <c r="G149" s="30"/>
      <c r="H149" s="30"/>
      <c r="I149" s="375"/>
      <c r="J149" s="375"/>
    </row>
    <row r="150" spans="1:10" s="29" customFormat="1">
      <c r="A150" s="27"/>
      <c r="B150" s="27"/>
      <c r="C150" s="27"/>
      <c r="D150" s="27"/>
      <c r="F150" s="30"/>
      <c r="G150" s="30"/>
      <c r="H150" s="30"/>
      <c r="I150" s="375"/>
      <c r="J150" s="375"/>
    </row>
    <row r="151" spans="1:10" s="29" customFormat="1">
      <c r="A151" s="27"/>
      <c r="B151" s="27"/>
      <c r="C151" s="27"/>
      <c r="D151" s="27"/>
      <c r="F151" s="30"/>
      <c r="G151" s="30"/>
      <c r="H151" s="30"/>
      <c r="I151" s="375"/>
      <c r="J151" s="375"/>
    </row>
    <row r="152" spans="1:10" s="29" customFormat="1">
      <c r="A152" s="27"/>
      <c r="B152" s="27"/>
      <c r="C152" s="27"/>
      <c r="D152" s="27"/>
      <c r="F152" s="30"/>
      <c r="G152" s="30"/>
      <c r="H152" s="30"/>
      <c r="I152" s="375"/>
      <c r="J152" s="375"/>
    </row>
    <row r="153" spans="1:10" s="29" customFormat="1">
      <c r="A153" s="27"/>
      <c r="B153" s="27"/>
      <c r="C153" s="27"/>
      <c r="D153" s="27"/>
      <c r="F153" s="30"/>
      <c r="G153" s="30"/>
      <c r="H153" s="30"/>
      <c r="I153" s="375"/>
      <c r="J153" s="375"/>
    </row>
    <row r="154" spans="1:10" s="29" customFormat="1">
      <c r="A154" s="27"/>
      <c r="B154" s="27"/>
      <c r="C154" s="27"/>
      <c r="D154" s="27"/>
      <c r="F154" s="30"/>
      <c r="G154" s="30"/>
      <c r="H154" s="30"/>
      <c r="I154" s="375"/>
      <c r="J154" s="375"/>
    </row>
    <row r="155" spans="1:10" s="29" customFormat="1">
      <c r="A155" s="27"/>
      <c r="B155" s="27"/>
      <c r="C155" s="27"/>
      <c r="D155" s="27"/>
      <c r="F155" s="30"/>
      <c r="G155" s="30"/>
      <c r="H155" s="30"/>
      <c r="I155" s="375"/>
      <c r="J155" s="375"/>
    </row>
    <row r="156" spans="1:10" s="29" customFormat="1">
      <c r="A156" s="27"/>
      <c r="B156" s="27"/>
      <c r="C156" s="27"/>
      <c r="D156" s="27"/>
      <c r="F156" s="30"/>
      <c r="G156" s="30"/>
      <c r="H156" s="30"/>
      <c r="I156" s="375"/>
      <c r="J156" s="375"/>
    </row>
    <row r="157" spans="1:10" s="29" customFormat="1">
      <c r="A157" s="27"/>
      <c r="B157" s="27"/>
      <c r="C157" s="27"/>
      <c r="D157" s="27"/>
      <c r="F157" s="30"/>
      <c r="G157" s="30"/>
      <c r="H157" s="30"/>
      <c r="I157" s="375"/>
      <c r="J157" s="375"/>
    </row>
    <row r="158" spans="1:10" s="29" customFormat="1">
      <c r="A158" s="27"/>
      <c r="B158" s="27"/>
      <c r="C158" s="27"/>
      <c r="D158" s="27"/>
      <c r="F158" s="30"/>
      <c r="G158" s="30"/>
      <c r="H158" s="30"/>
      <c r="I158" s="375"/>
      <c r="J158" s="375"/>
    </row>
    <row r="159" spans="1:10" s="29" customFormat="1">
      <c r="A159" s="27"/>
      <c r="B159" s="27"/>
      <c r="C159" s="27"/>
      <c r="D159" s="27"/>
      <c r="F159" s="30"/>
      <c r="G159" s="30"/>
      <c r="H159" s="30"/>
      <c r="I159" s="375"/>
      <c r="J159" s="375"/>
    </row>
    <row r="160" spans="1:10" s="29" customFormat="1">
      <c r="A160" s="27"/>
      <c r="B160" s="27"/>
      <c r="C160" s="27"/>
      <c r="D160" s="27"/>
      <c r="F160" s="30"/>
      <c r="G160" s="30"/>
      <c r="H160" s="30"/>
      <c r="I160" s="375"/>
      <c r="J160" s="375"/>
    </row>
    <row r="161" spans="1:10" s="29" customFormat="1">
      <c r="A161" s="27"/>
      <c r="B161" s="27"/>
      <c r="C161" s="27"/>
      <c r="D161" s="27"/>
      <c r="F161" s="30"/>
      <c r="G161" s="30"/>
      <c r="H161" s="30"/>
      <c r="I161" s="375"/>
      <c r="J161" s="375"/>
    </row>
    <row r="162" spans="1:10" s="29" customFormat="1">
      <c r="A162" s="27"/>
      <c r="B162" s="27"/>
      <c r="C162" s="27"/>
      <c r="D162" s="27"/>
      <c r="F162" s="30"/>
      <c r="G162" s="30"/>
      <c r="H162" s="30"/>
      <c r="I162" s="375"/>
      <c r="J162" s="375"/>
    </row>
    <row r="163" spans="1:10" s="29" customFormat="1">
      <c r="A163" s="27"/>
      <c r="B163" s="27"/>
      <c r="C163" s="27"/>
      <c r="D163" s="27"/>
      <c r="F163" s="30"/>
      <c r="G163" s="30"/>
      <c r="H163" s="30"/>
      <c r="I163" s="375"/>
      <c r="J163" s="375"/>
    </row>
    <row r="164" spans="1:10" s="29" customFormat="1">
      <c r="A164" s="27"/>
      <c r="B164" s="27"/>
      <c r="C164" s="27"/>
      <c r="D164" s="27"/>
      <c r="F164" s="30"/>
      <c r="G164" s="30"/>
      <c r="H164" s="30"/>
      <c r="I164" s="375"/>
      <c r="J164" s="375"/>
    </row>
    <row r="165" spans="1:10" s="29" customFormat="1">
      <c r="A165" s="27"/>
      <c r="B165" s="27"/>
      <c r="C165" s="27"/>
      <c r="D165" s="27"/>
      <c r="F165" s="30"/>
      <c r="G165" s="30"/>
      <c r="H165" s="30"/>
      <c r="I165" s="375"/>
      <c r="J165" s="375"/>
    </row>
    <row r="166" spans="1:10" s="29" customFormat="1">
      <c r="A166" s="27"/>
      <c r="B166" s="27"/>
      <c r="C166" s="27"/>
      <c r="D166" s="27"/>
      <c r="F166" s="30"/>
      <c r="G166" s="30"/>
      <c r="H166" s="30"/>
      <c r="I166" s="375"/>
      <c r="J166" s="375"/>
    </row>
    <row r="167" spans="1:10" s="29" customFormat="1">
      <c r="A167" s="27"/>
      <c r="B167" s="27"/>
      <c r="C167" s="27"/>
      <c r="D167" s="27"/>
      <c r="F167" s="30"/>
      <c r="G167" s="30"/>
      <c r="H167" s="30"/>
      <c r="I167" s="375"/>
      <c r="J167" s="375"/>
    </row>
    <row r="168" spans="1:10" s="29" customFormat="1">
      <c r="A168" s="27"/>
      <c r="B168" s="27"/>
      <c r="C168" s="27"/>
      <c r="D168" s="27"/>
      <c r="F168" s="30"/>
      <c r="G168" s="30"/>
      <c r="H168" s="30"/>
      <c r="I168" s="375"/>
      <c r="J168" s="375"/>
    </row>
    <row r="169" spans="1:10" s="29" customFormat="1">
      <c r="A169" s="27"/>
      <c r="B169" s="27"/>
      <c r="C169" s="27"/>
      <c r="D169" s="27"/>
      <c r="F169" s="30"/>
      <c r="G169" s="30"/>
      <c r="H169" s="30"/>
      <c r="I169" s="375"/>
      <c r="J169" s="375"/>
    </row>
    <row r="170" spans="1:10" s="29" customFormat="1">
      <c r="A170" s="27"/>
      <c r="B170" s="27"/>
      <c r="C170" s="27"/>
      <c r="D170" s="27"/>
      <c r="F170" s="30"/>
      <c r="G170" s="30"/>
      <c r="H170" s="30"/>
      <c r="I170" s="375"/>
      <c r="J170" s="375"/>
    </row>
    <row r="171" spans="1:10" s="29" customFormat="1">
      <c r="A171" s="27"/>
      <c r="B171" s="27"/>
      <c r="C171" s="27"/>
      <c r="D171" s="27"/>
      <c r="F171" s="30"/>
      <c r="G171" s="30"/>
      <c r="H171" s="30"/>
      <c r="I171" s="375"/>
      <c r="J171" s="375"/>
    </row>
    <row r="172" spans="1:10" s="29" customFormat="1">
      <c r="A172" s="27"/>
      <c r="B172" s="27"/>
      <c r="C172" s="27"/>
      <c r="D172" s="27"/>
      <c r="F172" s="30"/>
      <c r="G172" s="30"/>
      <c r="H172" s="30"/>
      <c r="I172" s="375"/>
      <c r="J172" s="375"/>
    </row>
    <row r="173" spans="1:10" s="29" customFormat="1">
      <c r="A173" s="27"/>
      <c r="B173" s="27"/>
      <c r="C173" s="27"/>
      <c r="D173" s="27"/>
      <c r="F173" s="30"/>
      <c r="G173" s="30"/>
      <c r="H173" s="30"/>
      <c r="I173" s="375"/>
      <c r="J173" s="375"/>
    </row>
    <row r="174" spans="1:10" s="29" customFormat="1">
      <c r="A174" s="27"/>
      <c r="B174" s="27"/>
      <c r="C174" s="27"/>
      <c r="D174" s="27"/>
      <c r="F174" s="30"/>
      <c r="G174" s="30"/>
      <c r="H174" s="30"/>
      <c r="I174" s="375"/>
      <c r="J174" s="375"/>
    </row>
    <row r="175" spans="1:10" s="29" customFormat="1">
      <c r="A175" s="27"/>
      <c r="B175" s="27"/>
      <c r="C175" s="27"/>
      <c r="D175" s="27"/>
      <c r="F175" s="30"/>
      <c r="G175" s="30"/>
      <c r="H175" s="30"/>
      <c r="I175" s="375"/>
      <c r="J175" s="375"/>
    </row>
    <row r="176" spans="1:10" s="29" customFormat="1">
      <c r="A176" s="27"/>
      <c r="B176" s="27"/>
      <c r="C176" s="27"/>
      <c r="D176" s="27"/>
      <c r="F176" s="30"/>
      <c r="G176" s="30"/>
      <c r="H176" s="30"/>
      <c r="I176" s="375"/>
      <c r="J176" s="375"/>
    </row>
    <row r="177" spans="1:10" s="29" customFormat="1">
      <c r="A177" s="27"/>
      <c r="B177" s="27"/>
      <c r="C177" s="27"/>
      <c r="D177" s="27"/>
      <c r="F177" s="30"/>
      <c r="G177" s="30"/>
      <c r="H177" s="30"/>
      <c r="I177" s="375"/>
      <c r="J177" s="375"/>
    </row>
    <row r="178" spans="1:10" s="29" customFormat="1">
      <c r="A178" s="27"/>
      <c r="B178" s="27"/>
      <c r="C178" s="27"/>
      <c r="D178" s="27"/>
      <c r="F178" s="30"/>
      <c r="G178" s="30"/>
      <c r="H178" s="30"/>
      <c r="I178" s="375"/>
      <c r="J178" s="375"/>
    </row>
    <row r="179" spans="1:10" s="29" customFormat="1">
      <c r="A179" s="27"/>
      <c r="B179" s="27"/>
      <c r="C179" s="27"/>
      <c r="D179" s="27"/>
      <c r="F179" s="30"/>
      <c r="G179" s="30"/>
      <c r="H179" s="30"/>
      <c r="I179" s="375"/>
      <c r="J179" s="375"/>
    </row>
    <row r="180" spans="1:10" s="29" customFormat="1">
      <c r="A180" s="27"/>
      <c r="B180" s="27"/>
      <c r="C180" s="27"/>
      <c r="D180" s="27"/>
      <c r="F180" s="30"/>
      <c r="G180" s="30"/>
      <c r="H180" s="30"/>
      <c r="I180" s="375"/>
      <c r="J180" s="375"/>
    </row>
    <row r="181" spans="1:10" s="29" customFormat="1">
      <c r="A181" s="27"/>
      <c r="B181" s="27"/>
      <c r="C181" s="27"/>
      <c r="D181" s="27"/>
      <c r="F181" s="30"/>
      <c r="G181" s="30"/>
      <c r="H181" s="30"/>
      <c r="I181" s="375"/>
      <c r="J181" s="375"/>
    </row>
    <row r="182" spans="1:10" s="29" customFormat="1">
      <c r="A182" s="27"/>
      <c r="B182" s="27"/>
      <c r="C182" s="27"/>
      <c r="D182" s="27"/>
      <c r="F182" s="30"/>
      <c r="G182" s="30"/>
      <c r="H182" s="30"/>
      <c r="I182" s="375"/>
      <c r="J182" s="375"/>
    </row>
    <row r="183" spans="1:10" s="29" customFormat="1">
      <c r="A183" s="27"/>
      <c r="B183" s="27"/>
      <c r="C183" s="27"/>
      <c r="D183" s="27"/>
      <c r="F183" s="30"/>
      <c r="G183" s="30"/>
      <c r="H183" s="30"/>
      <c r="I183" s="375"/>
      <c r="J183" s="375"/>
    </row>
    <row r="184" spans="1:10" s="29" customFormat="1">
      <c r="A184" s="27"/>
      <c r="B184" s="27"/>
      <c r="C184" s="27"/>
      <c r="D184" s="27"/>
      <c r="F184" s="30"/>
      <c r="G184" s="30"/>
      <c r="H184" s="30"/>
      <c r="I184" s="375"/>
      <c r="J184" s="375"/>
    </row>
    <row r="185" spans="1:10" s="29" customFormat="1">
      <c r="A185" s="27"/>
      <c r="B185" s="27"/>
      <c r="C185" s="27"/>
      <c r="D185" s="27"/>
      <c r="F185" s="30"/>
      <c r="G185" s="30"/>
      <c r="H185" s="30"/>
      <c r="I185" s="375"/>
      <c r="J185" s="375"/>
    </row>
    <row r="186" spans="1:10" s="29" customFormat="1">
      <c r="A186" s="27"/>
      <c r="B186" s="27"/>
      <c r="C186" s="27"/>
      <c r="D186" s="27"/>
      <c r="F186" s="30"/>
      <c r="G186" s="30"/>
      <c r="H186" s="30"/>
      <c r="I186" s="375"/>
      <c r="J186" s="375"/>
    </row>
    <row r="187" spans="1:10" s="29" customFormat="1">
      <c r="A187" s="27"/>
      <c r="B187" s="27"/>
      <c r="C187" s="27"/>
      <c r="D187" s="27"/>
      <c r="F187" s="30"/>
      <c r="G187" s="30"/>
      <c r="H187" s="30"/>
      <c r="I187" s="375"/>
      <c r="J187" s="375"/>
    </row>
    <row r="188" spans="1:10" s="29" customFormat="1">
      <c r="A188" s="27"/>
      <c r="B188" s="27"/>
      <c r="C188" s="27"/>
      <c r="D188" s="27"/>
      <c r="F188" s="30"/>
      <c r="G188" s="30"/>
      <c r="H188" s="30"/>
      <c r="I188" s="375"/>
      <c r="J188" s="375"/>
    </row>
    <row r="189" spans="1:10" s="29" customFormat="1">
      <c r="A189" s="27"/>
      <c r="B189" s="27"/>
      <c r="C189" s="27"/>
      <c r="D189" s="27"/>
      <c r="F189" s="30"/>
      <c r="G189" s="30"/>
      <c r="H189" s="30"/>
      <c r="I189" s="375"/>
      <c r="J189" s="375"/>
    </row>
    <row r="190" spans="1:10" s="29" customFormat="1">
      <c r="A190" s="27"/>
      <c r="B190" s="27"/>
      <c r="C190" s="27"/>
      <c r="D190" s="27"/>
      <c r="F190" s="30"/>
      <c r="G190" s="30"/>
      <c r="H190" s="30"/>
      <c r="I190" s="375"/>
      <c r="J190" s="375"/>
    </row>
    <row r="191" spans="1:10" s="29" customFormat="1">
      <c r="A191" s="27"/>
      <c r="B191" s="27"/>
      <c r="C191" s="27"/>
      <c r="D191" s="27"/>
      <c r="F191" s="30"/>
      <c r="G191" s="30"/>
      <c r="H191" s="30"/>
      <c r="I191" s="375"/>
      <c r="J191" s="375"/>
    </row>
    <row r="192" spans="1:10" s="29" customFormat="1">
      <c r="A192" s="27"/>
      <c r="B192" s="27"/>
      <c r="C192" s="27"/>
      <c r="D192" s="27"/>
      <c r="F192" s="30"/>
      <c r="G192" s="30"/>
      <c r="H192" s="30"/>
      <c r="I192" s="375"/>
      <c r="J192" s="375"/>
    </row>
    <row r="193" spans="1:10" s="29" customFormat="1">
      <c r="A193" s="27"/>
      <c r="B193" s="27"/>
      <c r="C193" s="27"/>
      <c r="D193" s="27"/>
      <c r="F193" s="30"/>
      <c r="G193" s="30"/>
      <c r="H193" s="30"/>
      <c r="I193" s="375"/>
      <c r="J193" s="375"/>
    </row>
    <row r="194" spans="1:10" s="29" customFormat="1">
      <c r="A194" s="27"/>
      <c r="B194" s="27"/>
      <c r="C194" s="27"/>
      <c r="D194" s="27"/>
      <c r="F194" s="30"/>
      <c r="G194" s="30"/>
      <c r="H194" s="30"/>
      <c r="I194" s="375"/>
      <c r="J194" s="375"/>
    </row>
    <row r="195" spans="1:10" s="29" customFormat="1">
      <c r="A195" s="27"/>
      <c r="B195" s="27"/>
      <c r="C195" s="27"/>
      <c r="D195" s="27"/>
      <c r="F195" s="30"/>
      <c r="G195" s="30"/>
      <c r="H195" s="30"/>
      <c r="I195" s="375"/>
      <c r="J195" s="375"/>
    </row>
    <row r="196" spans="1:10" s="29" customFormat="1">
      <c r="A196" s="27"/>
      <c r="B196" s="27"/>
      <c r="C196" s="27"/>
      <c r="D196" s="27"/>
      <c r="F196" s="30"/>
      <c r="G196" s="30"/>
      <c r="H196" s="30"/>
      <c r="I196" s="375"/>
      <c r="J196" s="375"/>
    </row>
    <row r="197" spans="1:10" s="29" customFormat="1">
      <c r="A197" s="27"/>
      <c r="B197" s="27"/>
      <c r="C197" s="27"/>
      <c r="D197" s="27"/>
      <c r="F197" s="30"/>
      <c r="G197" s="30"/>
      <c r="H197" s="30"/>
      <c r="I197" s="375"/>
      <c r="J197" s="375"/>
    </row>
    <row r="198" spans="1:10" s="29" customFormat="1">
      <c r="A198" s="27"/>
      <c r="B198" s="27"/>
      <c r="C198" s="27"/>
      <c r="D198" s="27"/>
      <c r="F198" s="30"/>
      <c r="G198" s="30"/>
      <c r="H198" s="30"/>
      <c r="I198" s="375"/>
      <c r="J198" s="375"/>
    </row>
    <row r="199" spans="1:10" s="29" customFormat="1">
      <c r="A199" s="27"/>
      <c r="B199" s="27"/>
      <c r="C199" s="27"/>
      <c r="D199" s="27"/>
      <c r="F199" s="30"/>
      <c r="G199" s="30"/>
      <c r="H199" s="30"/>
      <c r="I199" s="375"/>
      <c r="J199" s="375"/>
    </row>
    <row r="200" spans="1:10" s="29" customFormat="1">
      <c r="A200" s="27"/>
      <c r="B200" s="27"/>
      <c r="C200" s="27"/>
      <c r="D200" s="27"/>
      <c r="F200" s="30"/>
      <c r="G200" s="30"/>
      <c r="H200" s="30"/>
      <c r="I200" s="375"/>
      <c r="J200" s="375"/>
    </row>
    <row r="201" spans="1:10" s="29" customFormat="1">
      <c r="A201" s="27"/>
      <c r="B201" s="27"/>
      <c r="C201" s="27"/>
      <c r="D201" s="27"/>
      <c r="F201" s="30"/>
      <c r="G201" s="30"/>
      <c r="H201" s="30"/>
      <c r="I201" s="375"/>
      <c r="J201" s="375"/>
    </row>
    <row r="202" spans="1:10" s="29" customFormat="1">
      <c r="A202" s="27"/>
      <c r="B202" s="27"/>
      <c r="C202" s="27"/>
      <c r="D202" s="27"/>
      <c r="F202" s="30"/>
      <c r="G202" s="30"/>
      <c r="H202" s="30"/>
      <c r="I202" s="375"/>
      <c r="J202" s="375"/>
    </row>
    <row r="203" spans="1:10" s="29" customFormat="1">
      <c r="A203" s="27"/>
      <c r="B203" s="27"/>
      <c r="C203" s="27"/>
      <c r="D203" s="27"/>
      <c r="F203" s="30"/>
      <c r="G203" s="30"/>
      <c r="H203" s="30"/>
      <c r="I203" s="375"/>
      <c r="J203" s="375"/>
    </row>
    <row r="204" spans="1:10" s="29" customFormat="1">
      <c r="A204" s="27"/>
      <c r="B204" s="27"/>
      <c r="C204" s="27"/>
      <c r="D204" s="27"/>
      <c r="F204" s="30"/>
      <c r="G204" s="30"/>
      <c r="H204" s="30"/>
      <c r="I204" s="375"/>
      <c r="J204" s="375"/>
    </row>
    <row r="205" spans="1:10" s="29" customFormat="1">
      <c r="A205" s="27"/>
      <c r="B205" s="27"/>
      <c r="C205" s="27"/>
      <c r="D205" s="27"/>
      <c r="F205" s="30"/>
      <c r="G205" s="30"/>
      <c r="H205" s="30"/>
      <c r="I205" s="375"/>
      <c r="J205" s="375"/>
    </row>
    <row r="206" spans="1:10" s="29" customFormat="1">
      <c r="A206" s="27"/>
      <c r="B206" s="27"/>
      <c r="C206" s="27"/>
      <c r="D206" s="27"/>
      <c r="F206" s="30"/>
      <c r="G206" s="30"/>
      <c r="H206" s="30"/>
      <c r="I206" s="375"/>
      <c r="J206" s="375"/>
    </row>
    <row r="207" spans="1:10" s="29" customFormat="1">
      <c r="A207" s="27"/>
      <c r="B207" s="27"/>
      <c r="C207" s="27"/>
      <c r="D207" s="27"/>
      <c r="F207" s="30"/>
      <c r="G207" s="30"/>
      <c r="H207" s="30"/>
      <c r="I207" s="375"/>
      <c r="J207" s="375"/>
    </row>
    <row r="208" spans="1:10" s="29" customFormat="1">
      <c r="A208" s="27"/>
      <c r="B208" s="27"/>
      <c r="C208" s="27"/>
      <c r="D208" s="27"/>
      <c r="F208" s="30"/>
      <c r="G208" s="30"/>
      <c r="H208" s="30"/>
      <c r="I208" s="375"/>
      <c r="J208" s="375"/>
    </row>
    <row r="209" spans="1:10" s="29" customFormat="1">
      <c r="A209" s="27"/>
      <c r="B209" s="27"/>
      <c r="C209" s="27"/>
      <c r="D209" s="27"/>
      <c r="F209" s="30"/>
      <c r="G209" s="30"/>
      <c r="H209" s="30"/>
      <c r="I209" s="375"/>
      <c r="J209" s="375"/>
    </row>
    <row r="210" spans="1:10" s="29" customFormat="1">
      <c r="A210" s="27"/>
      <c r="B210" s="27"/>
      <c r="C210" s="27"/>
      <c r="D210" s="27"/>
      <c r="F210" s="30"/>
      <c r="G210" s="30"/>
      <c r="H210" s="30"/>
      <c r="I210" s="375"/>
      <c r="J210" s="375"/>
    </row>
    <row r="211" spans="1:10" s="29" customFormat="1">
      <c r="A211" s="27"/>
      <c r="B211" s="27"/>
      <c r="C211" s="27"/>
      <c r="D211" s="27"/>
      <c r="F211" s="30"/>
      <c r="G211" s="30"/>
      <c r="H211" s="30"/>
      <c r="I211" s="375"/>
      <c r="J211" s="375"/>
    </row>
    <row r="212" spans="1:10" s="29" customFormat="1">
      <c r="A212" s="27"/>
      <c r="B212" s="27"/>
      <c r="C212" s="27"/>
      <c r="D212" s="27"/>
      <c r="F212" s="30"/>
      <c r="G212" s="30"/>
      <c r="H212" s="30"/>
      <c r="I212" s="375"/>
      <c r="J212" s="375"/>
    </row>
    <row r="213" spans="1:10" s="29" customFormat="1">
      <c r="A213" s="27"/>
      <c r="B213" s="27"/>
      <c r="C213" s="27"/>
      <c r="D213" s="27"/>
      <c r="F213" s="30"/>
      <c r="G213" s="30"/>
      <c r="H213" s="30"/>
      <c r="I213" s="375"/>
      <c r="J213" s="375"/>
    </row>
    <row r="214" spans="1:10" s="29" customFormat="1">
      <c r="A214" s="27"/>
      <c r="B214" s="27"/>
      <c r="C214" s="27"/>
      <c r="D214" s="27"/>
      <c r="F214" s="30"/>
      <c r="G214" s="30"/>
      <c r="H214" s="30"/>
      <c r="I214" s="375"/>
      <c r="J214" s="375"/>
    </row>
    <row r="215" spans="1:10" s="29" customFormat="1">
      <c r="A215" s="27"/>
      <c r="B215" s="27"/>
      <c r="C215" s="27"/>
      <c r="D215" s="27"/>
      <c r="F215" s="30"/>
      <c r="G215" s="30"/>
      <c r="H215" s="30"/>
      <c r="I215" s="375"/>
      <c r="J215" s="375"/>
    </row>
    <row r="216" spans="1:10" s="29" customFormat="1">
      <c r="A216" s="27"/>
      <c r="B216" s="27"/>
      <c r="C216" s="27"/>
      <c r="D216" s="27"/>
      <c r="F216" s="30"/>
      <c r="G216" s="30"/>
      <c r="H216" s="30"/>
      <c r="I216" s="375"/>
      <c r="J216" s="375"/>
    </row>
    <row r="217" spans="1:10" s="29" customFormat="1">
      <c r="A217" s="27"/>
      <c r="B217" s="27"/>
      <c r="C217" s="27"/>
      <c r="D217" s="27"/>
      <c r="F217" s="30"/>
      <c r="G217" s="30"/>
      <c r="H217" s="30"/>
      <c r="I217" s="375"/>
      <c r="J217" s="375"/>
    </row>
    <row r="218" spans="1:10" s="29" customFormat="1">
      <c r="A218" s="27"/>
      <c r="B218" s="27"/>
      <c r="C218" s="27"/>
      <c r="D218" s="27"/>
      <c r="F218" s="30"/>
      <c r="G218" s="30"/>
      <c r="H218" s="30"/>
      <c r="I218" s="375"/>
      <c r="J218" s="375"/>
    </row>
    <row r="219" spans="1:10" s="29" customFormat="1">
      <c r="A219" s="27"/>
      <c r="B219" s="27"/>
      <c r="C219" s="27"/>
      <c r="D219" s="27"/>
      <c r="F219" s="30"/>
      <c r="G219" s="30"/>
      <c r="H219" s="30"/>
      <c r="I219" s="375"/>
      <c r="J219" s="375"/>
    </row>
    <row r="220" spans="1:10" s="29" customFormat="1">
      <c r="A220" s="27"/>
      <c r="B220" s="27"/>
      <c r="C220" s="27"/>
      <c r="D220" s="27"/>
      <c r="F220" s="30"/>
      <c r="G220" s="30"/>
      <c r="H220" s="30"/>
      <c r="I220" s="375"/>
      <c r="J220" s="375"/>
    </row>
    <row r="221" spans="1:10" s="29" customFormat="1">
      <c r="A221" s="27"/>
      <c r="B221" s="27"/>
      <c r="C221" s="27"/>
      <c r="D221" s="27"/>
      <c r="F221" s="30"/>
      <c r="G221" s="30"/>
      <c r="H221" s="30"/>
      <c r="I221" s="375"/>
      <c r="J221" s="375"/>
    </row>
    <row r="222" spans="1:10" s="29" customFormat="1">
      <c r="A222" s="27"/>
      <c r="B222" s="27"/>
      <c r="C222" s="27"/>
      <c r="D222" s="27"/>
      <c r="F222" s="30"/>
      <c r="G222" s="30"/>
      <c r="H222" s="30"/>
      <c r="I222" s="375"/>
      <c r="J222" s="375"/>
    </row>
    <row r="223" spans="1:10" s="29" customFormat="1">
      <c r="A223" s="27"/>
      <c r="B223" s="27"/>
      <c r="C223" s="27"/>
      <c r="D223" s="27"/>
      <c r="F223" s="30"/>
      <c r="G223" s="30"/>
      <c r="H223" s="30"/>
      <c r="I223" s="375"/>
      <c r="J223" s="375"/>
    </row>
    <row r="224" spans="1:10" s="29" customFormat="1">
      <c r="A224" s="27"/>
      <c r="B224" s="27"/>
      <c r="C224" s="27"/>
      <c r="D224" s="27"/>
      <c r="F224" s="30"/>
      <c r="G224" s="30"/>
      <c r="H224" s="30"/>
      <c r="I224" s="375"/>
      <c r="J224" s="375"/>
    </row>
    <row r="225" spans="1:10" s="29" customFormat="1">
      <c r="A225" s="27"/>
      <c r="B225" s="27"/>
      <c r="C225" s="27"/>
      <c r="D225" s="27"/>
      <c r="F225" s="30"/>
      <c r="G225" s="30"/>
      <c r="H225" s="30"/>
      <c r="I225" s="375"/>
      <c r="J225" s="375"/>
    </row>
    <row r="226" spans="1:10" s="29" customFormat="1">
      <c r="A226" s="27"/>
      <c r="B226" s="27"/>
      <c r="C226" s="27"/>
      <c r="D226" s="27"/>
      <c r="F226" s="30"/>
      <c r="G226" s="30"/>
      <c r="H226" s="30"/>
      <c r="I226" s="375"/>
      <c r="J226" s="375"/>
    </row>
    <row r="227" spans="1:10" s="29" customFormat="1">
      <c r="A227" s="27"/>
      <c r="B227" s="27"/>
      <c r="C227" s="27"/>
      <c r="D227" s="27"/>
      <c r="F227" s="30"/>
      <c r="G227" s="30"/>
      <c r="H227" s="30"/>
      <c r="I227" s="375"/>
      <c r="J227" s="375"/>
    </row>
    <row r="228" spans="1:10" s="29" customFormat="1">
      <c r="A228" s="27"/>
      <c r="B228" s="27"/>
      <c r="C228" s="27"/>
      <c r="D228" s="27"/>
      <c r="F228" s="30"/>
      <c r="G228" s="30"/>
      <c r="H228" s="30"/>
      <c r="I228" s="375"/>
      <c r="J228" s="375"/>
    </row>
    <row r="229" spans="1:10" s="29" customFormat="1">
      <c r="A229" s="27"/>
      <c r="B229" s="27"/>
      <c r="C229" s="27"/>
      <c r="D229" s="27"/>
      <c r="F229" s="30"/>
      <c r="G229" s="30"/>
      <c r="H229" s="30"/>
      <c r="I229" s="375"/>
      <c r="J229" s="375"/>
    </row>
    <row r="230" spans="1:10" s="29" customFormat="1">
      <c r="A230" s="27"/>
      <c r="B230" s="27"/>
      <c r="C230" s="27"/>
      <c r="D230" s="27"/>
      <c r="F230" s="30"/>
      <c r="G230" s="30"/>
      <c r="H230" s="30"/>
      <c r="I230" s="375"/>
      <c r="J230" s="375"/>
    </row>
    <row r="231" spans="1:10" s="29" customFormat="1">
      <c r="A231" s="27"/>
      <c r="B231" s="27"/>
      <c r="C231" s="27"/>
      <c r="D231" s="27"/>
      <c r="F231" s="30"/>
      <c r="G231" s="30"/>
      <c r="H231" s="30"/>
      <c r="I231" s="375"/>
      <c r="J231" s="375"/>
    </row>
    <row r="232" spans="1:10" s="29" customFormat="1">
      <c r="A232" s="27"/>
      <c r="B232" s="27"/>
      <c r="C232" s="27"/>
      <c r="D232" s="27"/>
      <c r="F232" s="30"/>
      <c r="G232" s="30"/>
      <c r="H232" s="30"/>
      <c r="I232" s="375"/>
      <c r="J232" s="375"/>
    </row>
    <row r="233" spans="1:10" s="29" customFormat="1">
      <c r="A233" s="27"/>
      <c r="B233" s="27"/>
      <c r="C233" s="27"/>
      <c r="D233" s="27"/>
      <c r="F233" s="30"/>
      <c r="G233" s="30"/>
      <c r="H233" s="30"/>
      <c r="I233" s="375"/>
      <c r="J233" s="375"/>
    </row>
    <row r="234" spans="1:10" s="29" customFormat="1">
      <c r="A234" s="27"/>
      <c r="B234" s="27"/>
      <c r="C234" s="27"/>
      <c r="D234" s="27"/>
      <c r="F234" s="30"/>
      <c r="G234" s="30"/>
      <c r="H234" s="30"/>
      <c r="I234" s="375"/>
      <c r="J234" s="375"/>
    </row>
    <row r="235" spans="1:10" s="29" customFormat="1">
      <c r="A235" s="27"/>
      <c r="B235" s="27"/>
      <c r="C235" s="27"/>
      <c r="D235" s="27"/>
      <c r="F235" s="30"/>
      <c r="G235" s="30"/>
      <c r="H235" s="30"/>
      <c r="I235" s="375"/>
      <c r="J235" s="375"/>
    </row>
    <row r="236" spans="1:10" s="29" customFormat="1">
      <c r="A236" s="27"/>
      <c r="B236" s="27"/>
      <c r="C236" s="27"/>
      <c r="D236" s="27"/>
      <c r="F236" s="30"/>
      <c r="G236" s="30"/>
      <c r="H236" s="30"/>
      <c r="I236" s="375"/>
      <c r="J236" s="375"/>
    </row>
    <row r="237" spans="1:10" s="29" customFormat="1">
      <c r="A237" s="27"/>
      <c r="B237" s="27"/>
      <c r="C237" s="27"/>
      <c r="D237" s="27"/>
      <c r="F237" s="30"/>
      <c r="G237" s="30"/>
      <c r="H237" s="30"/>
      <c r="I237" s="375"/>
      <c r="J237" s="375"/>
    </row>
    <row r="238" spans="1:10" s="29" customFormat="1">
      <c r="A238" s="27"/>
      <c r="B238" s="27"/>
      <c r="C238" s="27"/>
      <c r="D238" s="27"/>
      <c r="F238" s="30"/>
      <c r="G238" s="30"/>
      <c r="H238" s="30"/>
      <c r="I238" s="375"/>
      <c r="J238" s="375"/>
    </row>
    <row r="239" spans="1:10" s="29" customFormat="1">
      <c r="A239" s="27"/>
      <c r="B239" s="27"/>
      <c r="C239" s="27"/>
      <c r="D239" s="27"/>
      <c r="F239" s="30"/>
      <c r="G239" s="30"/>
      <c r="H239" s="30"/>
      <c r="I239" s="375"/>
      <c r="J239" s="375"/>
    </row>
    <row r="240" spans="1:10" s="29" customFormat="1">
      <c r="A240" s="27"/>
      <c r="B240" s="27"/>
      <c r="C240" s="27"/>
      <c r="D240" s="27"/>
      <c r="F240" s="30"/>
      <c r="G240" s="30"/>
      <c r="H240" s="30"/>
      <c r="I240" s="375"/>
      <c r="J240" s="375"/>
    </row>
    <row r="241" spans="1:10" s="29" customFormat="1">
      <c r="A241" s="27"/>
      <c r="B241" s="27"/>
      <c r="C241" s="27"/>
      <c r="D241" s="27"/>
      <c r="F241" s="30"/>
      <c r="G241" s="30"/>
      <c r="H241" s="30"/>
      <c r="I241" s="375"/>
      <c r="J241" s="375"/>
    </row>
    <row r="242" spans="1:10" s="29" customFormat="1">
      <c r="A242" s="27"/>
      <c r="B242" s="27"/>
      <c r="C242" s="27"/>
      <c r="D242" s="27"/>
      <c r="F242" s="30"/>
      <c r="G242" s="30"/>
      <c r="H242" s="30"/>
      <c r="I242" s="375"/>
      <c r="J242" s="375"/>
    </row>
    <row r="243" spans="1:10" s="29" customFormat="1">
      <c r="A243" s="27"/>
      <c r="B243" s="27"/>
      <c r="C243" s="27"/>
      <c r="D243" s="27"/>
      <c r="F243" s="30"/>
      <c r="G243" s="30"/>
      <c r="H243" s="30"/>
      <c r="I243" s="375"/>
      <c r="J243" s="375"/>
    </row>
    <row r="244" spans="1:10" s="29" customFormat="1">
      <c r="A244" s="27"/>
      <c r="B244" s="27"/>
      <c r="C244" s="27"/>
      <c r="D244" s="27"/>
      <c r="F244" s="30"/>
      <c r="G244" s="30"/>
      <c r="H244" s="30"/>
      <c r="I244" s="375"/>
      <c r="J244" s="375"/>
    </row>
    <row r="245" spans="1:10" s="29" customFormat="1">
      <c r="A245" s="27"/>
      <c r="B245" s="27"/>
      <c r="C245" s="27"/>
      <c r="D245" s="27"/>
      <c r="F245" s="30"/>
      <c r="G245" s="30"/>
      <c r="H245" s="30"/>
      <c r="I245" s="375"/>
      <c r="J245" s="375"/>
    </row>
    <row r="246" spans="1:10" s="29" customFormat="1">
      <c r="A246" s="27"/>
      <c r="B246" s="27"/>
      <c r="C246" s="27"/>
      <c r="D246" s="27"/>
      <c r="F246" s="30"/>
      <c r="G246" s="30"/>
      <c r="H246" s="30"/>
      <c r="I246" s="375"/>
      <c r="J246" s="375"/>
    </row>
    <row r="247" spans="1:10" s="29" customFormat="1">
      <c r="A247" s="27"/>
      <c r="B247" s="27"/>
      <c r="C247" s="27"/>
      <c r="D247" s="27"/>
      <c r="F247" s="30"/>
      <c r="G247" s="30"/>
      <c r="H247" s="30"/>
      <c r="I247" s="375"/>
      <c r="J247" s="375"/>
    </row>
    <row r="248" spans="1:10" s="29" customFormat="1">
      <c r="A248" s="27"/>
      <c r="B248" s="27"/>
      <c r="C248" s="27"/>
      <c r="D248" s="27"/>
      <c r="F248" s="30"/>
      <c r="G248" s="30"/>
      <c r="H248" s="30"/>
      <c r="I248" s="375"/>
      <c r="J248" s="375"/>
    </row>
    <row r="249" spans="1:10" s="29" customFormat="1">
      <c r="A249" s="27"/>
      <c r="B249" s="27"/>
      <c r="C249" s="27"/>
      <c r="D249" s="27"/>
      <c r="F249" s="30"/>
      <c r="G249" s="30"/>
      <c r="H249" s="30"/>
      <c r="I249" s="375"/>
      <c r="J249" s="375"/>
    </row>
    <row r="250" spans="1:10" s="29" customFormat="1">
      <c r="A250" s="27"/>
      <c r="B250" s="27"/>
      <c r="C250" s="27"/>
      <c r="D250" s="27"/>
      <c r="F250" s="30"/>
      <c r="G250" s="30"/>
      <c r="H250" s="30"/>
      <c r="I250" s="375"/>
      <c r="J250" s="375"/>
    </row>
    <row r="251" spans="1:10" s="29" customFormat="1">
      <c r="A251" s="27"/>
      <c r="B251" s="27"/>
      <c r="C251" s="27"/>
      <c r="D251" s="27"/>
      <c r="F251" s="30"/>
      <c r="G251" s="30"/>
      <c r="H251" s="30"/>
      <c r="I251" s="375"/>
      <c r="J251" s="375"/>
    </row>
    <row r="252" spans="1:10" s="29" customFormat="1">
      <c r="A252" s="27"/>
      <c r="B252" s="27"/>
      <c r="C252" s="27"/>
      <c r="D252" s="27"/>
      <c r="F252" s="30"/>
      <c r="G252" s="30"/>
      <c r="H252" s="30"/>
      <c r="I252" s="375"/>
      <c r="J252" s="375"/>
    </row>
    <row r="253" spans="1:10" s="29" customFormat="1">
      <c r="A253" s="27"/>
      <c r="B253" s="27"/>
      <c r="C253" s="27"/>
      <c r="D253" s="27"/>
      <c r="F253" s="30"/>
      <c r="G253" s="30"/>
      <c r="H253" s="30"/>
      <c r="I253" s="375"/>
      <c r="J253" s="375"/>
    </row>
    <row r="254" spans="1:10" s="29" customFormat="1">
      <c r="A254" s="27"/>
      <c r="B254" s="27"/>
      <c r="C254" s="27"/>
      <c r="D254" s="27"/>
      <c r="F254" s="30"/>
      <c r="G254" s="30"/>
      <c r="H254" s="30"/>
      <c r="I254" s="375"/>
      <c r="J254" s="375"/>
    </row>
    <row r="255" spans="1:10" s="29" customFormat="1">
      <c r="A255" s="27"/>
      <c r="B255" s="27"/>
      <c r="C255" s="27"/>
      <c r="D255" s="27"/>
      <c r="F255" s="30"/>
      <c r="G255" s="30"/>
      <c r="H255" s="30"/>
      <c r="I255" s="375"/>
      <c r="J255" s="375"/>
    </row>
    <row r="256" spans="1:10" s="29" customFormat="1">
      <c r="A256" s="27"/>
      <c r="B256" s="27"/>
      <c r="C256" s="27"/>
      <c r="D256" s="27"/>
      <c r="F256" s="30"/>
      <c r="G256" s="30"/>
      <c r="H256" s="30"/>
      <c r="I256" s="375"/>
      <c r="J256" s="375"/>
    </row>
    <row r="257" spans="1:10" s="29" customFormat="1">
      <c r="A257" s="27"/>
      <c r="B257" s="27"/>
      <c r="C257" s="27"/>
      <c r="D257" s="27"/>
      <c r="F257" s="30"/>
      <c r="G257" s="30"/>
      <c r="H257" s="30"/>
      <c r="I257" s="375"/>
      <c r="J257" s="375"/>
    </row>
    <row r="258" spans="1:10" s="29" customFormat="1">
      <c r="A258" s="27"/>
      <c r="B258" s="27"/>
      <c r="C258" s="27"/>
      <c r="D258" s="27"/>
      <c r="F258" s="30"/>
      <c r="G258" s="30"/>
      <c r="H258" s="30"/>
      <c r="I258" s="375"/>
      <c r="J258" s="375"/>
    </row>
    <row r="259" spans="1:10" s="29" customFormat="1">
      <c r="A259" s="27"/>
      <c r="B259" s="27"/>
      <c r="C259" s="27"/>
      <c r="D259" s="27"/>
      <c r="F259" s="30"/>
      <c r="G259" s="30"/>
      <c r="H259" s="30"/>
      <c r="I259" s="375"/>
      <c r="J259" s="375"/>
    </row>
    <row r="260" spans="1:10" s="29" customFormat="1">
      <c r="A260" s="27"/>
      <c r="B260" s="27"/>
      <c r="C260" s="27"/>
      <c r="D260" s="27"/>
      <c r="F260" s="30"/>
      <c r="G260" s="30"/>
      <c r="H260" s="30"/>
      <c r="I260" s="375"/>
      <c r="J260" s="375"/>
    </row>
    <row r="261" spans="1:10" s="29" customFormat="1">
      <c r="A261" s="27"/>
      <c r="B261" s="27"/>
      <c r="C261" s="27"/>
      <c r="D261" s="27"/>
      <c r="F261" s="30"/>
      <c r="G261" s="30"/>
      <c r="H261" s="30"/>
      <c r="I261" s="375"/>
      <c r="J261" s="375"/>
    </row>
    <row r="262" spans="1:10" s="29" customFormat="1">
      <c r="A262" s="27"/>
      <c r="B262" s="27"/>
      <c r="C262" s="27"/>
      <c r="D262" s="27"/>
      <c r="F262" s="30"/>
      <c r="G262" s="30"/>
      <c r="H262" s="30"/>
      <c r="I262" s="375"/>
      <c r="J262" s="375"/>
    </row>
    <row r="263" spans="1:10" s="29" customFormat="1">
      <c r="A263" s="27"/>
      <c r="B263" s="27"/>
      <c r="C263" s="27"/>
      <c r="D263" s="27"/>
      <c r="F263" s="30"/>
      <c r="G263" s="30"/>
      <c r="H263" s="30"/>
      <c r="I263" s="375"/>
      <c r="J263" s="375"/>
    </row>
    <row r="264" spans="1:10" s="29" customFormat="1">
      <c r="A264" s="27"/>
      <c r="B264" s="27"/>
      <c r="C264" s="27"/>
      <c r="D264" s="27"/>
      <c r="F264" s="30"/>
      <c r="G264" s="30"/>
      <c r="H264" s="30"/>
      <c r="I264" s="375"/>
      <c r="J264" s="375"/>
    </row>
    <row r="265" spans="1:10" s="29" customFormat="1">
      <c r="A265" s="27"/>
      <c r="B265" s="27"/>
      <c r="C265" s="27"/>
      <c r="D265" s="27"/>
      <c r="F265" s="30"/>
      <c r="G265" s="30"/>
      <c r="H265" s="30"/>
      <c r="I265" s="375"/>
      <c r="J265" s="375"/>
    </row>
    <row r="266" spans="1:10" s="29" customFormat="1">
      <c r="A266" s="27"/>
      <c r="B266" s="27"/>
      <c r="C266" s="27"/>
      <c r="D266" s="27"/>
      <c r="F266" s="30"/>
      <c r="G266" s="30"/>
      <c r="H266" s="30"/>
      <c r="I266" s="375"/>
      <c r="J266" s="375"/>
    </row>
    <row r="267" spans="1:10" s="29" customFormat="1">
      <c r="A267" s="27"/>
      <c r="B267" s="27"/>
      <c r="C267" s="27"/>
      <c r="D267" s="27"/>
      <c r="F267" s="30"/>
      <c r="G267" s="30"/>
      <c r="H267" s="30"/>
      <c r="I267" s="375"/>
      <c r="J267" s="375"/>
    </row>
    <row r="268" spans="1:10" s="29" customFormat="1">
      <c r="A268" s="27"/>
      <c r="B268" s="27"/>
      <c r="C268" s="27"/>
      <c r="D268" s="27"/>
      <c r="F268" s="30"/>
      <c r="G268" s="30"/>
      <c r="H268" s="30"/>
      <c r="I268" s="375"/>
      <c r="J268" s="375"/>
    </row>
    <row r="269" spans="1:10" s="29" customFormat="1">
      <c r="A269" s="27"/>
      <c r="B269" s="27"/>
      <c r="C269" s="27"/>
      <c r="D269" s="27"/>
      <c r="F269" s="30"/>
      <c r="G269" s="30"/>
      <c r="H269" s="30"/>
      <c r="I269" s="375"/>
      <c r="J269" s="375"/>
    </row>
    <row r="270" spans="1:10" s="29" customFormat="1">
      <c r="A270" s="27"/>
      <c r="B270" s="27"/>
      <c r="C270" s="27"/>
      <c r="D270" s="27"/>
      <c r="F270" s="30"/>
      <c r="G270" s="30"/>
      <c r="H270" s="30"/>
      <c r="I270" s="375"/>
      <c r="J270" s="375"/>
    </row>
    <row r="271" spans="1:10" s="29" customFormat="1">
      <c r="A271" s="27"/>
      <c r="B271" s="27"/>
      <c r="C271" s="27"/>
      <c r="D271" s="27"/>
      <c r="F271" s="30"/>
      <c r="G271" s="30"/>
      <c r="H271" s="30"/>
      <c r="I271" s="375"/>
      <c r="J271" s="375"/>
    </row>
    <row r="272" spans="1:10" s="29" customFormat="1">
      <c r="A272" s="27"/>
      <c r="B272" s="27"/>
      <c r="C272" s="27"/>
      <c r="D272" s="27"/>
      <c r="F272" s="30"/>
      <c r="G272" s="30"/>
      <c r="H272" s="30"/>
      <c r="I272" s="375"/>
      <c r="J272" s="375"/>
    </row>
    <row r="273" spans="1:10" s="29" customFormat="1">
      <c r="A273" s="27"/>
      <c r="B273" s="27"/>
      <c r="C273" s="27"/>
      <c r="D273" s="27"/>
      <c r="F273" s="30"/>
      <c r="G273" s="30"/>
      <c r="H273" s="30"/>
      <c r="I273" s="375"/>
      <c r="J273" s="375"/>
    </row>
    <row r="274" spans="1:10" s="29" customFormat="1">
      <c r="A274" s="27"/>
      <c r="B274" s="27"/>
      <c r="C274" s="27"/>
      <c r="D274" s="27"/>
      <c r="F274" s="30"/>
      <c r="G274" s="30"/>
      <c r="H274" s="30"/>
      <c r="I274" s="375"/>
      <c r="J274" s="375"/>
    </row>
    <row r="275" spans="1:10" s="29" customFormat="1">
      <c r="A275" s="27"/>
      <c r="B275" s="27"/>
      <c r="C275" s="27"/>
      <c r="D275" s="27"/>
      <c r="F275" s="30"/>
      <c r="G275" s="30"/>
      <c r="H275" s="30"/>
      <c r="I275" s="375"/>
      <c r="J275" s="375"/>
    </row>
    <row r="276" spans="1:10" s="29" customFormat="1">
      <c r="A276" s="27"/>
      <c r="B276" s="27"/>
      <c r="C276" s="27"/>
      <c r="D276" s="27"/>
      <c r="F276" s="30"/>
      <c r="G276" s="30"/>
      <c r="H276" s="30"/>
      <c r="I276" s="375"/>
      <c r="J276" s="375"/>
    </row>
    <row r="277" spans="1:10" s="29" customFormat="1">
      <c r="A277" s="27"/>
      <c r="B277" s="27"/>
      <c r="C277" s="27"/>
      <c r="D277" s="27"/>
      <c r="F277" s="30"/>
      <c r="G277" s="30"/>
      <c r="H277" s="30"/>
      <c r="I277" s="375"/>
      <c r="J277" s="375"/>
    </row>
    <row r="278" spans="1:10" s="29" customFormat="1">
      <c r="A278" s="27"/>
      <c r="B278" s="27"/>
      <c r="C278" s="27"/>
      <c r="D278" s="27"/>
      <c r="F278" s="30"/>
      <c r="G278" s="30"/>
      <c r="H278" s="30"/>
      <c r="I278" s="375"/>
      <c r="J278" s="375"/>
    </row>
    <row r="279" spans="1:10" s="29" customFormat="1">
      <c r="A279" s="27"/>
      <c r="B279" s="27"/>
      <c r="C279" s="27"/>
      <c r="D279" s="27"/>
      <c r="F279" s="30"/>
      <c r="G279" s="30"/>
      <c r="H279" s="30"/>
      <c r="I279" s="375"/>
      <c r="J279" s="375"/>
    </row>
    <row r="280" spans="1:10" s="29" customFormat="1">
      <c r="A280" s="27"/>
      <c r="B280" s="27"/>
      <c r="C280" s="27"/>
      <c r="D280" s="27"/>
      <c r="F280" s="30"/>
      <c r="G280" s="30"/>
      <c r="H280" s="30"/>
      <c r="I280" s="375"/>
      <c r="J280" s="375"/>
    </row>
    <row r="281" spans="1:10" s="29" customFormat="1">
      <c r="A281" s="27"/>
      <c r="B281" s="27"/>
      <c r="C281" s="27"/>
      <c r="D281" s="27"/>
      <c r="F281" s="30"/>
      <c r="G281" s="30"/>
      <c r="H281" s="30"/>
      <c r="I281" s="375"/>
      <c r="J281" s="375"/>
    </row>
    <row r="282" spans="1:10" s="29" customFormat="1">
      <c r="A282" s="27"/>
      <c r="B282" s="27"/>
      <c r="C282" s="27"/>
      <c r="D282" s="27"/>
      <c r="F282" s="30"/>
      <c r="G282" s="30"/>
      <c r="H282" s="30"/>
      <c r="I282" s="375"/>
      <c r="J282" s="375"/>
    </row>
    <row r="283" spans="1:10" s="29" customFormat="1">
      <c r="A283" s="27"/>
      <c r="B283" s="27"/>
      <c r="C283" s="27"/>
      <c r="D283" s="27"/>
      <c r="F283" s="30"/>
      <c r="G283" s="30"/>
      <c r="H283" s="30"/>
      <c r="I283" s="375"/>
      <c r="J283" s="375"/>
    </row>
    <row r="284" spans="1:10" s="29" customFormat="1">
      <c r="A284" s="27"/>
      <c r="B284" s="27"/>
      <c r="C284" s="27"/>
      <c r="D284" s="27"/>
      <c r="F284" s="30"/>
      <c r="G284" s="30"/>
      <c r="H284" s="30"/>
      <c r="I284" s="375"/>
      <c r="J284" s="375"/>
    </row>
    <row r="285" spans="1:10" s="29" customFormat="1">
      <c r="A285" s="27"/>
      <c r="B285" s="27"/>
      <c r="C285" s="27"/>
      <c r="D285" s="27"/>
      <c r="F285" s="30"/>
      <c r="G285" s="30"/>
      <c r="H285" s="30"/>
      <c r="I285" s="375"/>
      <c r="J285" s="375"/>
    </row>
    <row r="286" spans="1:10" s="29" customFormat="1">
      <c r="A286" s="27"/>
      <c r="B286" s="27"/>
      <c r="C286" s="27"/>
      <c r="D286" s="27"/>
      <c r="F286" s="30"/>
      <c r="G286" s="30"/>
      <c r="H286" s="30"/>
      <c r="I286" s="375"/>
      <c r="J286" s="375"/>
    </row>
    <row r="287" spans="1:10" s="29" customFormat="1">
      <c r="A287" s="27"/>
      <c r="B287" s="27"/>
      <c r="C287" s="27"/>
      <c r="D287" s="27"/>
      <c r="F287" s="30"/>
      <c r="G287" s="30"/>
      <c r="H287" s="30"/>
      <c r="I287" s="375"/>
      <c r="J287" s="375"/>
    </row>
    <row r="288" spans="1:10" s="29" customFormat="1">
      <c r="A288" s="27"/>
      <c r="B288" s="27"/>
      <c r="C288" s="27"/>
      <c r="D288" s="27"/>
      <c r="F288" s="30"/>
      <c r="G288" s="30"/>
      <c r="H288" s="30"/>
      <c r="I288" s="375"/>
      <c r="J288" s="375"/>
    </row>
    <row r="289" spans="1:10" s="29" customFormat="1">
      <c r="A289" s="27"/>
      <c r="B289" s="27"/>
      <c r="C289" s="27"/>
      <c r="D289" s="27"/>
      <c r="F289" s="30"/>
      <c r="G289" s="30"/>
      <c r="H289" s="30"/>
      <c r="I289" s="375"/>
      <c r="J289" s="375"/>
    </row>
    <row r="290" spans="1:10" s="29" customFormat="1">
      <c r="A290" s="27"/>
      <c r="B290" s="27"/>
      <c r="C290" s="27"/>
      <c r="D290" s="27"/>
      <c r="F290" s="30"/>
      <c r="G290" s="30"/>
      <c r="H290" s="30"/>
      <c r="I290" s="375"/>
      <c r="J290" s="375"/>
    </row>
    <row r="291" spans="1:10" s="29" customFormat="1">
      <c r="A291" s="27"/>
      <c r="B291" s="27"/>
      <c r="C291" s="27"/>
      <c r="D291" s="27"/>
      <c r="F291" s="30"/>
      <c r="G291" s="30"/>
      <c r="H291" s="30"/>
      <c r="I291" s="375"/>
      <c r="J291" s="375"/>
    </row>
  </sheetData>
  <mergeCells count="23">
    <mergeCell ref="A1:J1"/>
    <mergeCell ref="A2:B2"/>
    <mergeCell ref="C16:J16"/>
    <mergeCell ref="C18:J18"/>
    <mergeCell ref="C13:J13"/>
    <mergeCell ref="C6:I6"/>
    <mergeCell ref="C9:J9"/>
    <mergeCell ref="C11:J11"/>
    <mergeCell ref="C33:J33"/>
    <mergeCell ref="C28:J28"/>
    <mergeCell ref="C30:J30"/>
    <mergeCell ref="C26:J26"/>
    <mergeCell ref="C20:F20"/>
    <mergeCell ref="N51:O51"/>
    <mergeCell ref="P51:Q51"/>
    <mergeCell ref="D54:F54"/>
    <mergeCell ref="D46:F46"/>
    <mergeCell ref="G54:J54"/>
    <mergeCell ref="F48:F49"/>
    <mergeCell ref="G48:G49"/>
    <mergeCell ref="H48:H49"/>
    <mergeCell ref="I48:I49"/>
    <mergeCell ref="J48:J49"/>
  </mergeCells>
  <pageMargins left="0.25" right="0.25" top="0.53" bottom="0.37" header="0.3" footer="0.3"/>
  <pageSetup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69"/>
  <sheetViews>
    <sheetView view="pageBreakPreview" topLeftCell="A37" zoomScale="90" zoomScaleNormal="90" zoomScaleSheetLayoutView="90" workbookViewId="0">
      <selection activeCell="B30" sqref="B30"/>
    </sheetView>
  </sheetViews>
  <sheetFormatPr defaultColWidth="8.85546875" defaultRowHeight="12.75"/>
  <cols>
    <col min="1" max="1" width="4.42578125" style="236" customWidth="1"/>
    <col min="2" max="2" width="54" style="236" customWidth="1"/>
    <col min="3" max="3" width="14.5703125" style="236" customWidth="1"/>
    <col min="4" max="4" width="20.28515625" style="236" customWidth="1"/>
    <col min="5" max="5" width="8.28515625" style="236" customWidth="1"/>
    <col min="6" max="14" width="8.85546875" style="236"/>
    <col min="15" max="15" width="11.42578125" style="236" customWidth="1"/>
    <col min="16" max="16" width="8.85546875" style="236"/>
    <col min="17" max="17" width="7.85546875" style="236" customWidth="1"/>
    <col min="18" max="29" width="8.85546875" style="236"/>
    <col min="30" max="36" width="8.85546875" style="1"/>
    <col min="37" max="16384" width="8.85546875" style="236"/>
  </cols>
  <sheetData>
    <row r="1" spans="1:36" s="2" customFormat="1" ht="36" customHeight="1">
      <c r="A1" s="586" t="s">
        <v>447</v>
      </c>
      <c r="B1" s="587"/>
      <c r="C1" s="587"/>
      <c r="D1" s="588"/>
      <c r="F1" s="585"/>
      <c r="G1" s="585"/>
      <c r="H1" s="585"/>
      <c r="I1" s="585"/>
      <c r="J1" s="585"/>
      <c r="K1" s="585"/>
      <c r="L1" s="585"/>
      <c r="M1" s="585"/>
      <c r="N1" s="585"/>
      <c r="O1" s="585"/>
      <c r="P1" s="585"/>
      <c r="Q1" s="585"/>
      <c r="R1" s="585"/>
      <c r="S1" s="585"/>
      <c r="T1" s="585"/>
      <c r="AD1" s="238"/>
      <c r="AE1" s="238"/>
      <c r="AF1" s="238"/>
      <c r="AG1" s="238"/>
      <c r="AH1" s="238"/>
      <c r="AI1" s="238"/>
      <c r="AJ1" s="238"/>
    </row>
    <row r="2" spans="1:36" s="2" customFormat="1" ht="15.75" customHeight="1">
      <c r="A2" s="668" t="s">
        <v>446</v>
      </c>
      <c r="B2" s="669"/>
      <c r="C2" s="524"/>
      <c r="D2" s="524"/>
      <c r="F2" s="585"/>
      <c r="G2" s="585"/>
      <c r="H2" s="585"/>
      <c r="I2" s="585"/>
      <c r="J2" s="585"/>
      <c r="K2" s="585"/>
      <c r="L2" s="585"/>
      <c r="M2" s="585"/>
      <c r="N2" s="585"/>
      <c r="O2" s="585"/>
      <c r="P2" s="585"/>
      <c r="Q2" s="585"/>
      <c r="R2" s="585"/>
      <c r="S2" s="585"/>
      <c r="T2" s="585"/>
      <c r="X2" s="285"/>
      <c r="Y2" s="285"/>
      <c r="Z2" s="285"/>
      <c r="AA2" s="285"/>
      <c r="AB2" s="285"/>
      <c r="AC2" s="285"/>
      <c r="AD2" s="238"/>
      <c r="AE2" s="238"/>
      <c r="AF2" s="238"/>
      <c r="AG2" s="238"/>
      <c r="AH2" s="238"/>
      <c r="AI2" s="238"/>
      <c r="AJ2" s="238"/>
    </row>
    <row r="3" spans="1:36" s="2" customFormat="1" ht="15.75" customHeight="1">
      <c r="A3" s="670" t="s">
        <v>439</v>
      </c>
      <c r="B3" s="671"/>
      <c r="C3" s="526" t="s">
        <v>214</v>
      </c>
      <c r="D3" s="527">
        <f>+('Input data'!D8*'Input data'!D9+'Input data'!D10*'Input data'!D11+'Input data'!D12*'Input data'!D13)/('Input data'!D8+'Input data'!D10+'Input data'!D12)</f>
        <v>0.26521739130434785</v>
      </c>
      <c r="F3" s="585"/>
      <c r="G3" s="585"/>
      <c r="H3" s="585"/>
      <c r="I3" s="585"/>
      <c r="J3" s="585"/>
      <c r="K3" s="585"/>
      <c r="L3" s="585"/>
      <c r="M3" s="585"/>
      <c r="N3" s="585"/>
      <c r="O3" s="585"/>
      <c r="P3" s="585"/>
      <c r="Q3" s="585"/>
      <c r="R3" s="585"/>
      <c r="S3" s="585"/>
      <c r="T3" s="585"/>
      <c r="X3" s="285"/>
      <c r="Y3" s="285"/>
      <c r="Z3" s="285"/>
      <c r="AA3" s="285"/>
      <c r="AB3" s="285"/>
      <c r="AC3" s="285"/>
      <c r="AD3" s="238"/>
      <c r="AE3" s="238"/>
      <c r="AF3" s="238"/>
      <c r="AG3" s="238"/>
      <c r="AH3" s="238"/>
      <c r="AI3" s="238"/>
      <c r="AJ3" s="238"/>
    </row>
    <row r="4" spans="1:36" s="2" customFormat="1" ht="22.5" customHeight="1">
      <c r="A4" s="672" t="s">
        <v>440</v>
      </c>
      <c r="B4" s="673"/>
      <c r="C4" s="528" t="s">
        <v>251</v>
      </c>
      <c r="D4" s="529">
        <f>+(0.0195)*('Input data'!D14^0.77)*('Input data'!D16^-0.385)</f>
        <v>16.008292378435453</v>
      </c>
      <c r="F4" s="585"/>
      <c r="G4" s="585"/>
      <c r="H4" s="585"/>
      <c r="I4" s="585"/>
      <c r="J4" s="585"/>
      <c r="K4" s="585"/>
      <c r="L4" s="585"/>
      <c r="M4" s="585"/>
      <c r="N4" s="585"/>
      <c r="O4" s="585"/>
      <c r="P4" s="585"/>
      <c r="Q4" s="585"/>
      <c r="R4" s="585"/>
      <c r="S4" s="585"/>
      <c r="T4" s="585"/>
      <c r="X4" s="285"/>
      <c r="Y4" s="285"/>
      <c r="Z4" s="285"/>
      <c r="AA4" s="285"/>
      <c r="AB4" s="285"/>
      <c r="AC4" s="285"/>
      <c r="AD4" s="238"/>
      <c r="AE4" s="238"/>
      <c r="AF4" s="238"/>
      <c r="AG4" s="238"/>
      <c r="AH4" s="238"/>
      <c r="AI4" s="238"/>
      <c r="AJ4" s="238"/>
    </row>
    <row r="5" spans="1:36" s="2" customFormat="1" ht="41.25" customHeight="1">
      <c r="A5" s="670" t="s">
        <v>215</v>
      </c>
      <c r="B5" s="671"/>
      <c r="C5" s="526" t="s">
        <v>209</v>
      </c>
      <c r="D5" s="535">
        <f>'Input data'!D17</f>
        <v>100</v>
      </c>
      <c r="F5" s="585"/>
      <c r="G5" s="585"/>
      <c r="H5" s="585"/>
      <c r="I5" s="585"/>
      <c r="J5" s="585"/>
      <c r="K5" s="585"/>
      <c r="L5" s="585"/>
      <c r="M5" s="585"/>
      <c r="N5" s="585"/>
      <c r="O5" s="585"/>
      <c r="P5" s="585"/>
      <c r="Q5" s="585"/>
      <c r="R5" s="585"/>
      <c r="S5" s="585"/>
      <c r="T5" s="585"/>
      <c r="X5" s="285"/>
      <c r="Y5" s="285"/>
      <c r="Z5" s="285"/>
      <c r="AA5" s="285"/>
      <c r="AB5" s="285"/>
      <c r="AC5" s="285"/>
      <c r="AD5" s="238"/>
      <c r="AE5" s="238"/>
      <c r="AF5" s="238"/>
      <c r="AG5" s="238"/>
      <c r="AH5" s="238"/>
      <c r="AI5" s="238"/>
      <c r="AJ5" s="238"/>
    </row>
    <row r="6" spans="1:36" s="2" customFormat="1" ht="49.5" customHeight="1">
      <c r="A6" s="670" t="s">
        <v>216</v>
      </c>
      <c r="B6" s="671"/>
      <c r="C6" s="526" t="s">
        <v>209</v>
      </c>
      <c r="D6" s="535">
        <f>'Input data'!D18</f>
        <v>180</v>
      </c>
      <c r="F6" s="585"/>
      <c r="G6" s="585"/>
      <c r="H6" s="585"/>
      <c r="I6" s="585"/>
      <c r="J6" s="585"/>
      <c r="K6" s="585"/>
      <c r="L6" s="585"/>
      <c r="M6" s="585"/>
      <c r="N6" s="585"/>
      <c r="O6" s="585"/>
      <c r="P6" s="585"/>
      <c r="Q6" s="585"/>
      <c r="R6" s="585"/>
      <c r="S6" s="585"/>
      <c r="T6" s="585"/>
      <c r="X6" s="285"/>
      <c r="Y6" s="285"/>
      <c r="Z6" s="285"/>
      <c r="AA6" s="285"/>
      <c r="AB6" s="285"/>
      <c r="AC6" s="285"/>
      <c r="AD6" s="238"/>
      <c r="AE6" s="238"/>
      <c r="AF6" s="238"/>
      <c r="AG6" s="238"/>
      <c r="AH6" s="238"/>
      <c r="AI6" s="238"/>
      <c r="AJ6" s="238"/>
    </row>
    <row r="7" spans="1:36" s="2" customFormat="1" ht="15.75">
      <c r="A7" s="666" t="s">
        <v>441</v>
      </c>
      <c r="B7" s="667"/>
      <c r="C7" s="531" t="s">
        <v>33</v>
      </c>
      <c r="D7" s="532">
        <f>+D3*D6*D12/360</f>
        <v>9.15</v>
      </c>
      <c r="F7" s="585"/>
      <c r="G7" s="585"/>
      <c r="H7" s="585"/>
      <c r="I7" s="585"/>
      <c r="J7" s="585"/>
      <c r="K7" s="585"/>
      <c r="L7" s="585"/>
      <c r="M7" s="585"/>
      <c r="N7" s="585"/>
      <c r="O7" s="585"/>
      <c r="P7" s="585"/>
      <c r="Q7" s="585"/>
      <c r="R7" s="585"/>
      <c r="S7" s="585"/>
      <c r="T7" s="585"/>
      <c r="X7" s="285"/>
      <c r="Y7" s="285"/>
      <c r="Z7" s="285"/>
      <c r="AA7" s="285"/>
      <c r="AB7" s="285"/>
      <c r="AC7" s="285"/>
      <c r="AD7" s="238"/>
      <c r="AE7" s="238"/>
      <c r="AF7" s="238"/>
      <c r="AG7" s="238"/>
      <c r="AH7" s="238"/>
      <c r="AI7" s="238"/>
      <c r="AJ7" s="238"/>
    </row>
    <row r="8" spans="1:36" s="2" customFormat="1" ht="15">
      <c r="A8" s="666" t="s">
        <v>310</v>
      </c>
      <c r="B8" s="667"/>
      <c r="C8" s="526" t="s">
        <v>207</v>
      </c>
      <c r="D8" s="533">
        <f>'Input data'!D26</f>
        <v>0.9</v>
      </c>
      <c r="F8" s="585"/>
      <c r="G8" s="585"/>
      <c r="H8" s="585"/>
      <c r="I8" s="585"/>
      <c r="J8" s="585"/>
      <c r="K8" s="585"/>
      <c r="L8" s="585"/>
      <c r="M8" s="585"/>
      <c r="N8" s="585"/>
      <c r="O8" s="585"/>
      <c r="P8" s="585"/>
      <c r="Q8" s="585"/>
      <c r="R8" s="585"/>
      <c r="S8" s="585"/>
      <c r="T8" s="585"/>
      <c r="X8" s="285"/>
      <c r="Y8" s="285"/>
      <c r="Z8" s="285"/>
      <c r="AA8" s="285"/>
      <c r="AB8" s="285"/>
      <c r="AC8" s="285"/>
      <c r="AD8" s="238"/>
      <c r="AE8" s="238"/>
      <c r="AF8" s="238"/>
      <c r="AG8" s="238"/>
      <c r="AH8" s="238"/>
      <c r="AI8" s="238"/>
      <c r="AJ8" s="238"/>
    </row>
    <row r="9" spans="1:36" s="2" customFormat="1" ht="18.75">
      <c r="A9" s="666" t="s">
        <v>442</v>
      </c>
      <c r="B9" s="667"/>
      <c r="C9" s="526" t="s">
        <v>207</v>
      </c>
      <c r="D9" s="533">
        <f>+D7/(1.711*(D8)^(1.5))</f>
        <v>6.2633592204127257</v>
      </c>
      <c r="F9" s="585"/>
      <c r="G9" s="585"/>
      <c r="H9" s="585"/>
      <c r="I9" s="585"/>
      <c r="J9" s="585"/>
      <c r="K9" s="585"/>
      <c r="L9" s="585"/>
      <c r="M9" s="585"/>
      <c r="N9" s="585"/>
      <c r="O9" s="585"/>
      <c r="P9" s="585"/>
      <c r="Q9" s="585"/>
      <c r="R9" s="585"/>
      <c r="S9" s="585"/>
      <c r="T9" s="585"/>
      <c r="X9" s="285"/>
      <c r="Y9" s="285"/>
      <c r="Z9" s="285"/>
      <c r="AA9" s="584" t="s">
        <v>39</v>
      </c>
      <c r="AB9" s="285"/>
      <c r="AC9" s="285"/>
      <c r="AD9" s="238"/>
      <c r="AE9" s="238"/>
      <c r="AF9" s="238"/>
      <c r="AG9" s="238"/>
      <c r="AH9" s="238"/>
      <c r="AI9" s="238"/>
      <c r="AJ9" s="238"/>
    </row>
    <row r="10" spans="1:36" s="2" customFormat="1" ht="12.75" customHeight="1">
      <c r="A10" s="546"/>
      <c r="B10" s="530"/>
      <c r="C10" s="526"/>
      <c r="D10" s="533"/>
      <c r="F10" s="585"/>
      <c r="G10" s="585"/>
      <c r="H10" s="585"/>
      <c r="I10" s="585"/>
      <c r="J10" s="585"/>
      <c r="K10" s="585"/>
      <c r="L10" s="585"/>
      <c r="M10" s="585"/>
      <c r="N10" s="585"/>
      <c r="O10" s="585"/>
      <c r="P10" s="585"/>
      <c r="Q10" s="585"/>
      <c r="R10" s="585"/>
      <c r="S10" s="585"/>
      <c r="T10" s="585"/>
      <c r="X10" s="285" t="s">
        <v>16</v>
      </c>
      <c r="Y10" s="285" t="s">
        <v>49</v>
      </c>
      <c r="Z10" s="285" t="s">
        <v>48</v>
      </c>
      <c r="AA10" s="584"/>
      <c r="AB10" s="285" t="s">
        <v>40</v>
      </c>
      <c r="AC10" s="285" t="s">
        <v>176</v>
      </c>
      <c r="AD10" s="238"/>
      <c r="AE10" s="238"/>
      <c r="AF10" s="238"/>
      <c r="AG10" s="238"/>
      <c r="AH10" s="238"/>
      <c r="AI10" s="238"/>
      <c r="AJ10" s="238"/>
    </row>
    <row r="11" spans="1:36" s="2" customFormat="1" ht="15.75">
      <c r="A11" s="674" t="s">
        <v>444</v>
      </c>
      <c r="B11" s="675"/>
      <c r="C11" s="526"/>
      <c r="D11" s="533"/>
      <c r="F11" s="585"/>
      <c r="G11" s="585"/>
      <c r="H11" s="585"/>
      <c r="I11" s="585"/>
      <c r="J11" s="585"/>
      <c r="K11" s="585"/>
      <c r="L11" s="585"/>
      <c r="M11" s="585"/>
      <c r="N11" s="585"/>
      <c r="O11" s="585"/>
      <c r="P11" s="585"/>
      <c r="Q11" s="585"/>
      <c r="R11" s="585"/>
      <c r="S11" s="585"/>
      <c r="T11" s="585"/>
      <c r="X11" s="285"/>
      <c r="Y11" s="285"/>
      <c r="Z11" s="285"/>
      <c r="AA11" s="285"/>
      <c r="AB11" s="285"/>
      <c r="AC11" s="285"/>
      <c r="AD11" s="238"/>
      <c r="AE11" s="238"/>
      <c r="AF11" s="238"/>
      <c r="AG11" s="238"/>
      <c r="AH11" s="238"/>
      <c r="AI11" s="238"/>
      <c r="AJ11" s="238"/>
    </row>
    <row r="12" spans="1:36" ht="15">
      <c r="A12" s="666" t="s">
        <v>211</v>
      </c>
      <c r="B12" s="667"/>
      <c r="C12" s="526" t="s">
        <v>41</v>
      </c>
      <c r="D12" s="526">
        <f>'Input data'!D6</f>
        <v>69</v>
      </c>
      <c r="F12" s="585"/>
      <c r="G12" s="585"/>
      <c r="H12" s="585"/>
      <c r="I12" s="585"/>
      <c r="J12" s="585"/>
      <c r="K12" s="585"/>
      <c r="L12" s="585"/>
      <c r="M12" s="585"/>
      <c r="N12" s="585"/>
      <c r="O12" s="585"/>
      <c r="P12" s="585"/>
      <c r="Q12" s="585"/>
      <c r="R12" s="585"/>
      <c r="S12" s="585"/>
      <c r="T12" s="585"/>
      <c r="X12" s="236">
        <f>+'Qty estimate'!A5</f>
        <v>0</v>
      </c>
      <c r="Y12" s="248">
        <f>+'Qty estimate'!B5</f>
        <v>100</v>
      </c>
      <c r="Z12" s="248">
        <f>AC12-D$8</f>
        <v>97.899999999999991</v>
      </c>
      <c r="AA12" s="236">
        <f>+'Qty estimate'!C5*0.3+100</f>
        <v>100</v>
      </c>
      <c r="AB12" s="236">
        <f>+Y12</f>
        <v>100</v>
      </c>
      <c r="AC12" s="248">
        <f>Y12-D$13</f>
        <v>98.8</v>
      </c>
    </row>
    <row r="13" spans="1:36" ht="15">
      <c r="A13" s="666" t="s">
        <v>17</v>
      </c>
      <c r="B13" s="667"/>
      <c r="C13" s="526" t="s">
        <v>8</v>
      </c>
      <c r="D13" s="533">
        <v>1.2</v>
      </c>
      <c r="F13" s="585"/>
      <c r="G13" s="585"/>
      <c r="H13" s="585"/>
      <c r="I13" s="585"/>
      <c r="J13" s="585"/>
      <c r="K13" s="585"/>
      <c r="L13" s="585"/>
      <c r="M13" s="585"/>
      <c r="N13" s="585"/>
      <c r="O13" s="585"/>
      <c r="P13" s="585"/>
      <c r="Q13" s="585"/>
      <c r="R13" s="585"/>
      <c r="S13" s="585"/>
      <c r="T13" s="585"/>
      <c r="X13" s="236">
        <f>+'Qty estimate'!A6</f>
        <v>4</v>
      </c>
      <c r="Y13" s="248">
        <f>+'Qty estimate'!B6</f>
        <v>96.9</v>
      </c>
      <c r="Z13" s="248">
        <f t="shared" ref="Z13:Z24" si="0">AC13-D$8</f>
        <v>97.899999999999991</v>
      </c>
      <c r="AA13" s="237">
        <f>+'Qty estimate'!C6*0.15+100</f>
        <v>100.465</v>
      </c>
      <c r="AB13" s="236">
        <f t="shared" ref="AB13:AB18" si="1">+AB12</f>
        <v>100</v>
      </c>
      <c r="AC13" s="237">
        <f>AC12</f>
        <v>98.8</v>
      </c>
    </row>
    <row r="14" spans="1:36" ht="15">
      <c r="A14" s="666" t="s">
        <v>21</v>
      </c>
      <c r="B14" s="667"/>
      <c r="C14" s="526" t="s">
        <v>8</v>
      </c>
      <c r="D14" s="534">
        <f>(0.4*D21)+1</f>
        <v>3</v>
      </c>
      <c r="F14" s="585"/>
      <c r="G14" s="585"/>
      <c r="H14" s="585"/>
      <c r="I14" s="585"/>
      <c r="J14" s="585"/>
      <c r="K14" s="585"/>
      <c r="L14" s="585"/>
      <c r="M14" s="585"/>
      <c r="N14" s="585"/>
      <c r="O14" s="585"/>
      <c r="P14" s="585"/>
      <c r="Q14" s="585"/>
      <c r="R14" s="585"/>
      <c r="S14" s="585"/>
      <c r="T14" s="585"/>
      <c r="X14" s="236">
        <f>+'Qty estimate'!A7</f>
        <v>8</v>
      </c>
      <c r="Y14" s="248">
        <f>+'Qty estimate'!B7</f>
        <v>96.2</v>
      </c>
      <c r="Z14" s="248">
        <f t="shared" si="0"/>
        <v>97.899999999999991</v>
      </c>
      <c r="AA14" s="237">
        <f>+'Qty estimate'!C7*'Input data'!D$28/100+100</f>
        <v>100.38</v>
      </c>
      <c r="AB14" s="236">
        <f t="shared" si="1"/>
        <v>100</v>
      </c>
      <c r="AC14" s="237">
        <f t="shared" ref="AC14:AC24" si="2">AC13</f>
        <v>98.8</v>
      </c>
    </row>
    <row r="15" spans="1:36" ht="15">
      <c r="A15" s="666" t="s">
        <v>24</v>
      </c>
      <c r="B15" s="667"/>
      <c r="C15" s="526" t="s">
        <v>8</v>
      </c>
      <c r="D15" s="534">
        <f>+MAX('Qty estimate'!C5:C19)*(D22+D23)+D14</f>
        <v>28</v>
      </c>
      <c r="F15" s="585"/>
      <c r="G15" s="585"/>
      <c r="H15" s="585"/>
      <c r="I15" s="585"/>
      <c r="J15" s="585"/>
      <c r="K15" s="585"/>
      <c r="L15" s="585"/>
      <c r="M15" s="585"/>
      <c r="N15" s="585"/>
      <c r="O15" s="585"/>
      <c r="P15" s="585"/>
      <c r="Q15" s="585"/>
      <c r="R15" s="585"/>
      <c r="S15" s="585"/>
      <c r="T15" s="585"/>
      <c r="X15" s="236">
        <f>+'Qty estimate'!A8</f>
        <v>12</v>
      </c>
      <c r="Y15" s="248">
        <f>+'Qty estimate'!B8</f>
        <v>95.8</v>
      </c>
      <c r="Z15" s="248">
        <f t="shared" si="0"/>
        <v>97.899999999999991</v>
      </c>
      <c r="AA15" s="237">
        <f>+'Qty estimate'!C8*'Input data'!D$28/100+100</f>
        <v>100.42</v>
      </c>
      <c r="AB15" s="236">
        <f t="shared" si="1"/>
        <v>100</v>
      </c>
      <c r="AC15" s="237">
        <f t="shared" si="2"/>
        <v>98.8</v>
      </c>
    </row>
    <row r="16" spans="1:36" ht="15">
      <c r="A16" s="666" t="s">
        <v>42</v>
      </c>
      <c r="B16" s="667"/>
      <c r="C16" s="526" t="s">
        <v>8</v>
      </c>
      <c r="D16" s="534">
        <f>D14</f>
        <v>3</v>
      </c>
      <c r="F16" s="585"/>
      <c r="G16" s="585"/>
      <c r="H16" s="585"/>
      <c r="I16" s="585"/>
      <c r="J16" s="585"/>
      <c r="K16" s="585"/>
      <c r="L16" s="585"/>
      <c r="M16" s="585"/>
      <c r="N16" s="585"/>
      <c r="O16" s="585"/>
      <c r="P16" s="585"/>
      <c r="Q16" s="585"/>
      <c r="R16" s="585"/>
      <c r="S16" s="585"/>
      <c r="T16" s="585"/>
      <c r="X16" s="236">
        <f>+'Qty estimate'!A9</f>
        <v>16</v>
      </c>
      <c r="Y16" s="248">
        <f>+'Qty estimate'!B9</f>
        <v>95.4</v>
      </c>
      <c r="Z16" s="248">
        <f t="shared" si="0"/>
        <v>97.899999999999991</v>
      </c>
      <c r="AA16" s="237">
        <f>+'Qty estimate'!C9*'Input data'!D$28/100+100</f>
        <v>100.46</v>
      </c>
      <c r="AB16" s="236">
        <f t="shared" si="1"/>
        <v>100</v>
      </c>
      <c r="AC16" s="237">
        <f t="shared" si="2"/>
        <v>98.8</v>
      </c>
    </row>
    <row r="17" spans="1:29" ht="15">
      <c r="A17" s="666" t="s">
        <v>43</v>
      </c>
      <c r="B17" s="667"/>
      <c r="C17" s="526" t="s">
        <v>8</v>
      </c>
      <c r="D17" s="534">
        <f>'Input data'!D22</f>
        <v>1.5</v>
      </c>
      <c r="F17" s="585"/>
      <c r="G17" s="585"/>
      <c r="H17" s="585"/>
      <c r="I17" s="585"/>
      <c r="J17" s="585"/>
      <c r="K17" s="585"/>
      <c r="L17" s="585"/>
      <c r="M17" s="585"/>
      <c r="N17" s="585"/>
      <c r="O17" s="585"/>
      <c r="P17" s="585"/>
      <c r="Q17" s="585"/>
      <c r="R17" s="585"/>
      <c r="S17" s="585"/>
      <c r="T17" s="585"/>
      <c r="X17" s="236">
        <f>+'Qty estimate'!A10</f>
        <v>20</v>
      </c>
      <c r="Y17" s="248">
        <f>+'Qty estimate'!B10</f>
        <v>95.1</v>
      </c>
      <c r="Z17" s="248">
        <f t="shared" si="0"/>
        <v>97.899999999999991</v>
      </c>
      <c r="AA17" s="237">
        <f>+'Qty estimate'!C10*'Input data'!D$28/100+100</f>
        <v>100.49</v>
      </c>
      <c r="AB17" s="236">
        <f t="shared" si="1"/>
        <v>100</v>
      </c>
      <c r="AC17" s="237">
        <f t="shared" si="2"/>
        <v>98.8</v>
      </c>
    </row>
    <row r="18" spans="1:29" ht="15">
      <c r="A18" s="666" t="s">
        <v>164</v>
      </c>
      <c r="B18" s="667"/>
      <c r="C18" s="526" t="s">
        <v>8</v>
      </c>
      <c r="D18" s="533">
        <f>+D9</f>
        <v>6.2633592204127257</v>
      </c>
      <c r="F18" s="585"/>
      <c r="G18" s="585"/>
      <c r="H18" s="585"/>
      <c r="I18" s="585"/>
      <c r="J18" s="585"/>
      <c r="K18" s="585"/>
      <c r="L18" s="585"/>
      <c r="M18" s="585"/>
      <c r="N18" s="585"/>
      <c r="O18" s="585"/>
      <c r="P18" s="585"/>
      <c r="Q18" s="585"/>
      <c r="R18" s="585"/>
      <c r="S18" s="585"/>
      <c r="T18" s="585"/>
      <c r="X18" s="236">
        <f>+'Qty estimate'!A11</f>
        <v>24</v>
      </c>
      <c r="Y18" s="248">
        <f>+'Qty estimate'!B11</f>
        <v>95</v>
      </c>
      <c r="Z18" s="248">
        <f t="shared" si="0"/>
        <v>97.899999999999991</v>
      </c>
      <c r="AA18" s="237">
        <f>+'Qty estimate'!C11*'Input data'!D$28/100+100</f>
        <v>100.5</v>
      </c>
      <c r="AB18" s="236">
        <f t="shared" si="1"/>
        <v>100</v>
      </c>
      <c r="AC18" s="237">
        <f t="shared" si="2"/>
        <v>98.8</v>
      </c>
    </row>
    <row r="19" spans="1:29" ht="15">
      <c r="A19" s="666" t="s">
        <v>258</v>
      </c>
      <c r="B19" s="667"/>
      <c r="C19" s="526" t="s">
        <v>8</v>
      </c>
      <c r="D19" s="533">
        <f>'Design Nala Bund Drg &amp; Summ (P)'!D13+'Design Nala Bund Drg &amp; Summ (P)'!D8</f>
        <v>2.1</v>
      </c>
      <c r="F19" s="585"/>
      <c r="G19" s="585"/>
      <c r="H19" s="585"/>
      <c r="I19" s="585"/>
      <c r="J19" s="585"/>
      <c r="K19" s="585"/>
      <c r="L19" s="585"/>
      <c r="M19" s="585"/>
      <c r="N19" s="585"/>
      <c r="O19" s="585"/>
      <c r="P19" s="585"/>
      <c r="Q19" s="585"/>
      <c r="R19" s="585"/>
      <c r="S19" s="585"/>
      <c r="T19" s="585"/>
      <c r="X19" s="236">
        <f>+'Qty estimate'!A12</f>
        <v>28</v>
      </c>
      <c r="Y19" s="248">
        <f>+'Qty estimate'!B12</f>
        <v>95.1</v>
      </c>
      <c r="Z19" s="248">
        <f t="shared" si="0"/>
        <v>97.899999999999991</v>
      </c>
      <c r="AA19" s="237">
        <f>+'Qty estimate'!C12*'Input data'!D$28/100+100</f>
        <v>100.49</v>
      </c>
      <c r="AB19" s="236">
        <f>+AB18</f>
        <v>100</v>
      </c>
      <c r="AC19" s="237">
        <f t="shared" si="2"/>
        <v>98.8</v>
      </c>
    </row>
    <row r="20" spans="1:29" ht="15.75">
      <c r="A20" s="666" t="s">
        <v>443</v>
      </c>
      <c r="B20" s="667"/>
      <c r="C20" s="526" t="s">
        <v>207</v>
      </c>
      <c r="D20" s="534">
        <f>'Input data'!D27</f>
        <v>30</v>
      </c>
      <c r="F20" s="585"/>
      <c r="G20" s="585"/>
      <c r="H20" s="585"/>
      <c r="I20" s="585"/>
      <c r="J20" s="585"/>
      <c r="K20" s="585"/>
      <c r="L20" s="585"/>
      <c r="M20" s="585"/>
      <c r="N20" s="585"/>
      <c r="O20" s="585"/>
      <c r="P20" s="585"/>
      <c r="Q20" s="585"/>
      <c r="R20" s="585"/>
      <c r="S20" s="585"/>
      <c r="T20" s="585"/>
      <c r="X20" s="236">
        <f>+'Qty estimate'!A13</f>
        <v>32</v>
      </c>
      <c r="Y20" s="248">
        <f>+'Qty estimate'!B13</f>
        <v>95.4</v>
      </c>
      <c r="Z20" s="248">
        <f t="shared" si="0"/>
        <v>97.899999999999991</v>
      </c>
      <c r="AA20" s="237">
        <f>+'Qty estimate'!C13*'Input data'!D$28/100+100</f>
        <v>100.46</v>
      </c>
      <c r="AB20" s="236">
        <f>+AB19</f>
        <v>100</v>
      </c>
      <c r="AC20" s="237">
        <f t="shared" si="2"/>
        <v>98.8</v>
      </c>
    </row>
    <row r="21" spans="1:29" ht="15">
      <c r="A21" s="666" t="s">
        <v>18</v>
      </c>
      <c r="B21" s="667"/>
      <c r="C21" s="526" t="s">
        <v>8</v>
      </c>
      <c r="D21" s="533">
        <f>+MAX('Qty estimate'!C5:C20)</f>
        <v>5</v>
      </c>
      <c r="F21" s="585"/>
      <c r="G21" s="585"/>
      <c r="H21" s="585"/>
      <c r="I21" s="585"/>
      <c r="J21" s="585"/>
      <c r="K21" s="585"/>
      <c r="L21" s="585"/>
      <c r="M21" s="585"/>
      <c r="N21" s="585"/>
      <c r="O21" s="585"/>
      <c r="P21" s="585"/>
      <c r="Q21" s="585"/>
      <c r="R21" s="585"/>
      <c r="S21" s="585"/>
      <c r="T21" s="585"/>
      <c r="X21" s="236">
        <f>+'Qty estimate'!A14</f>
        <v>36</v>
      </c>
      <c r="Y21" s="248">
        <f>+'Qty estimate'!B14</f>
        <v>96.7</v>
      </c>
      <c r="Z21" s="248">
        <f t="shared" si="0"/>
        <v>97.899999999999991</v>
      </c>
      <c r="AA21" s="237">
        <f>+'Qty estimate'!C14*'Input data'!D$28/100+100</f>
        <v>100.33</v>
      </c>
      <c r="AB21" s="236">
        <f>+AB20</f>
        <v>100</v>
      </c>
      <c r="AC21" s="237">
        <f t="shared" si="2"/>
        <v>98.8</v>
      </c>
    </row>
    <row r="22" spans="1:29" ht="15">
      <c r="A22" s="666" t="s">
        <v>19</v>
      </c>
      <c r="B22" s="667"/>
      <c r="C22" s="526"/>
      <c r="D22" s="535">
        <f>'Input data'!D24</f>
        <v>2</v>
      </c>
      <c r="F22" s="585"/>
      <c r="G22" s="585"/>
      <c r="H22" s="585"/>
      <c r="I22" s="585"/>
      <c r="J22" s="585"/>
      <c r="K22" s="585"/>
      <c r="L22" s="585"/>
      <c r="M22" s="585"/>
      <c r="N22" s="585"/>
      <c r="O22" s="585"/>
      <c r="P22" s="585"/>
      <c r="Q22" s="585"/>
      <c r="R22" s="585"/>
      <c r="S22" s="585"/>
      <c r="T22" s="585"/>
      <c r="X22" s="236">
        <f>+'Qty estimate'!A15</f>
        <v>40</v>
      </c>
      <c r="Y22" s="248">
        <f>+'Qty estimate'!B15</f>
        <v>100</v>
      </c>
      <c r="Z22" s="248">
        <f t="shared" si="0"/>
        <v>97.899999999999991</v>
      </c>
      <c r="AA22" s="237">
        <f>+'Qty estimate'!C15*'Input data'!D$28/100+100</f>
        <v>100</v>
      </c>
      <c r="AB22" s="236">
        <f>+AB21</f>
        <v>100</v>
      </c>
      <c r="AC22" s="237">
        <f t="shared" si="2"/>
        <v>98.8</v>
      </c>
    </row>
    <row r="23" spans="1:29" ht="15">
      <c r="A23" s="666" t="s">
        <v>20</v>
      </c>
      <c r="B23" s="667"/>
      <c r="C23" s="526"/>
      <c r="D23" s="535">
        <f>'Input data'!D23</f>
        <v>3</v>
      </c>
      <c r="F23" s="585"/>
      <c r="G23" s="585"/>
      <c r="H23" s="585"/>
      <c r="I23" s="585"/>
      <c r="J23" s="585"/>
      <c r="K23" s="585"/>
      <c r="L23" s="585"/>
      <c r="M23" s="585"/>
      <c r="N23" s="585"/>
      <c r="O23" s="585"/>
      <c r="P23" s="585"/>
      <c r="Q23" s="585"/>
      <c r="R23" s="585"/>
      <c r="S23" s="585"/>
      <c r="T23" s="585"/>
      <c r="X23" s="248">
        <f>+'Qty estimate'!A16</f>
        <v>45</v>
      </c>
      <c r="Y23" s="248">
        <f>+'Qty estimate'!B16</f>
        <v>100.3</v>
      </c>
      <c r="Z23" s="248">
        <f t="shared" si="0"/>
        <v>97.899999999999991</v>
      </c>
      <c r="AA23" s="237"/>
      <c r="AC23" s="237">
        <f t="shared" si="2"/>
        <v>98.8</v>
      </c>
    </row>
    <row r="24" spans="1:29" ht="15.75">
      <c r="A24" s="536"/>
      <c r="B24" s="537"/>
      <c r="C24" s="526"/>
      <c r="D24" s="526"/>
      <c r="F24" s="585"/>
      <c r="G24" s="585"/>
      <c r="H24" s="585"/>
      <c r="I24" s="585"/>
      <c r="J24" s="585"/>
      <c r="K24" s="585"/>
      <c r="L24" s="585"/>
      <c r="M24" s="585"/>
      <c r="N24" s="585"/>
      <c r="O24" s="585"/>
      <c r="P24" s="585"/>
      <c r="Q24" s="585"/>
      <c r="R24" s="585"/>
      <c r="S24" s="585"/>
      <c r="T24" s="585"/>
      <c r="X24" s="248">
        <f>+'Qty estimate'!A17+1</f>
        <v>46</v>
      </c>
      <c r="Y24" s="248">
        <f>+'Qty estimate'!B17</f>
        <v>97.6</v>
      </c>
      <c r="Z24" s="248">
        <f t="shared" si="0"/>
        <v>97.899999999999991</v>
      </c>
      <c r="AA24" s="237"/>
      <c r="AC24" s="237">
        <f t="shared" si="2"/>
        <v>98.8</v>
      </c>
    </row>
    <row r="25" spans="1:29" ht="15.75">
      <c r="A25" s="676" t="s">
        <v>445</v>
      </c>
      <c r="B25" s="677"/>
      <c r="C25" s="538"/>
      <c r="D25" s="538"/>
      <c r="F25" s="585"/>
      <c r="G25" s="585"/>
      <c r="H25" s="585"/>
      <c r="I25" s="585"/>
      <c r="J25" s="585"/>
      <c r="K25" s="585"/>
      <c r="L25" s="585"/>
      <c r="M25" s="585"/>
      <c r="N25" s="585"/>
      <c r="O25" s="585"/>
      <c r="P25" s="585"/>
      <c r="Q25" s="585"/>
      <c r="R25" s="585"/>
      <c r="S25" s="585"/>
      <c r="T25" s="585"/>
      <c r="X25" s="248">
        <f>+'Qty estimate'!A18+1</f>
        <v>52.263359220412724</v>
      </c>
      <c r="Y25" s="248">
        <f>+'Qty estimate'!B18</f>
        <v>97.6</v>
      </c>
      <c r="Z25" s="248">
        <f>+Z21</f>
        <v>97.899999999999991</v>
      </c>
      <c r="AA25" s="237"/>
      <c r="AC25" s="237">
        <f>Z25+D$8</f>
        <v>98.8</v>
      </c>
    </row>
    <row r="26" spans="1:29" ht="15">
      <c r="A26" s="526"/>
      <c r="B26" s="530" t="s">
        <v>44</v>
      </c>
      <c r="C26" s="526" t="s">
        <v>0</v>
      </c>
      <c r="D26" s="526" t="s">
        <v>1</v>
      </c>
      <c r="F26" s="585"/>
      <c r="G26" s="585"/>
      <c r="H26" s="585"/>
      <c r="I26" s="585"/>
      <c r="J26" s="585"/>
      <c r="K26" s="585"/>
      <c r="L26" s="585"/>
      <c r="M26" s="585"/>
      <c r="N26" s="585"/>
      <c r="O26" s="585"/>
      <c r="P26" s="585"/>
      <c r="Q26" s="585"/>
      <c r="R26" s="585"/>
      <c r="S26" s="585"/>
      <c r="T26" s="585"/>
      <c r="X26" s="248">
        <f>+'Qty estimate'!A19+2</f>
        <v>53.263359220412724</v>
      </c>
      <c r="Y26" s="248">
        <f>+'Qty estimate'!B19</f>
        <v>100.3</v>
      </c>
      <c r="Z26" s="248"/>
      <c r="AA26" s="237"/>
      <c r="AC26" s="237"/>
    </row>
    <row r="27" spans="1:29" ht="15">
      <c r="A27" s="526">
        <v>1</v>
      </c>
      <c r="B27" s="539" t="s">
        <v>192</v>
      </c>
      <c r="C27" s="526" t="s">
        <v>6</v>
      </c>
      <c r="D27" s="533">
        <f>+'Qty estimate'!S21*0.15</f>
        <v>128.54999999999998</v>
      </c>
      <c r="F27" s="585"/>
      <c r="G27" s="585"/>
      <c r="H27" s="585"/>
      <c r="I27" s="585"/>
      <c r="J27" s="585"/>
      <c r="K27" s="585"/>
      <c r="L27" s="585"/>
      <c r="M27" s="585"/>
      <c r="N27" s="585"/>
      <c r="O27" s="585"/>
      <c r="P27" s="585"/>
      <c r="Q27" s="585"/>
      <c r="R27" s="585"/>
      <c r="S27" s="585"/>
      <c r="T27" s="585"/>
      <c r="X27" s="248">
        <f>X26+5</f>
        <v>58.263359220412724</v>
      </c>
      <c r="Y27" s="248">
        <f>+Y26</f>
        <v>100.3</v>
      </c>
      <c r="Z27" s="248"/>
      <c r="AA27" s="237"/>
      <c r="AC27" s="237"/>
    </row>
    <row r="28" spans="1:29" ht="15">
      <c r="A28" s="678">
        <v>2</v>
      </c>
      <c r="B28" s="525" t="s">
        <v>22</v>
      </c>
      <c r="C28" s="526"/>
      <c r="D28" s="526"/>
      <c r="F28" s="585"/>
      <c r="G28" s="585"/>
      <c r="H28" s="585"/>
      <c r="I28" s="585"/>
      <c r="J28" s="585"/>
      <c r="K28" s="585"/>
      <c r="L28" s="585"/>
      <c r="M28" s="585"/>
      <c r="N28" s="585"/>
      <c r="O28" s="585"/>
      <c r="P28" s="585"/>
      <c r="Q28" s="585"/>
      <c r="R28" s="585"/>
      <c r="S28" s="585"/>
      <c r="T28" s="585"/>
    </row>
    <row r="29" spans="1:29" ht="15">
      <c r="A29" s="679"/>
      <c r="B29" s="525" t="s">
        <v>2</v>
      </c>
      <c r="C29" s="526" t="s">
        <v>23</v>
      </c>
      <c r="D29" s="534">
        <f>+D14</f>
        <v>3</v>
      </c>
      <c r="F29" s="585"/>
      <c r="G29" s="585"/>
      <c r="H29" s="585"/>
      <c r="I29" s="585"/>
      <c r="J29" s="585"/>
      <c r="K29" s="585"/>
      <c r="L29" s="585"/>
      <c r="M29" s="585"/>
      <c r="N29" s="585"/>
      <c r="O29" s="585"/>
      <c r="P29" s="585"/>
      <c r="Q29" s="585"/>
      <c r="R29" s="585"/>
      <c r="S29" s="585"/>
      <c r="T29" s="585"/>
      <c r="Y29" s="248"/>
    </row>
    <row r="30" spans="1:29" ht="15">
      <c r="A30" s="679"/>
      <c r="B30" s="525" t="s">
        <v>24</v>
      </c>
      <c r="C30" s="526" t="s">
        <v>23</v>
      </c>
      <c r="D30" s="534">
        <f>'Input data'!D21</f>
        <v>1</v>
      </c>
      <c r="F30" s="585"/>
      <c r="G30" s="585"/>
      <c r="H30" s="585"/>
      <c r="I30" s="585"/>
      <c r="J30" s="585"/>
      <c r="K30" s="585"/>
      <c r="L30" s="585"/>
      <c r="M30" s="585"/>
      <c r="N30" s="585"/>
      <c r="O30" s="585"/>
      <c r="P30" s="585"/>
      <c r="Q30" s="585"/>
      <c r="R30" s="585"/>
      <c r="S30" s="585"/>
      <c r="T30" s="585"/>
      <c r="Y30" s="248"/>
    </row>
    <row r="31" spans="1:29" ht="15">
      <c r="A31" s="679"/>
      <c r="B31" s="525" t="s">
        <v>25</v>
      </c>
      <c r="C31" s="526" t="s">
        <v>23</v>
      </c>
      <c r="D31" s="534">
        <f>+D17</f>
        <v>1.5</v>
      </c>
      <c r="F31" s="585"/>
      <c r="G31" s="585"/>
      <c r="H31" s="585"/>
      <c r="I31" s="585"/>
      <c r="J31" s="585"/>
      <c r="K31" s="585"/>
      <c r="L31" s="585"/>
      <c r="M31" s="585"/>
      <c r="N31" s="585"/>
      <c r="O31" s="585"/>
      <c r="P31" s="585"/>
      <c r="Q31" s="585"/>
      <c r="R31" s="585"/>
      <c r="S31" s="585"/>
      <c r="T31" s="585"/>
      <c r="X31" s="237"/>
      <c r="Y31" s="248"/>
    </row>
    <row r="32" spans="1:29" ht="15">
      <c r="A32" s="679"/>
      <c r="B32" s="525" t="s">
        <v>26</v>
      </c>
      <c r="C32" s="526" t="s">
        <v>23</v>
      </c>
      <c r="D32" s="526">
        <f>'Input data'!D42</f>
        <v>0.5</v>
      </c>
      <c r="F32" s="585"/>
      <c r="G32" s="585"/>
      <c r="H32" s="585"/>
      <c r="I32" s="585"/>
      <c r="J32" s="585"/>
      <c r="K32" s="585"/>
      <c r="L32" s="585"/>
      <c r="M32" s="585"/>
      <c r="N32" s="585"/>
      <c r="O32" s="585"/>
      <c r="P32" s="585"/>
      <c r="Q32" s="585"/>
      <c r="R32" s="585"/>
      <c r="S32" s="585"/>
      <c r="T32" s="585"/>
      <c r="X32" s="237"/>
      <c r="Y32" s="248"/>
    </row>
    <row r="33" spans="1:31" ht="15">
      <c r="A33" s="679"/>
      <c r="B33" s="525" t="s">
        <v>27</v>
      </c>
      <c r="C33" s="526" t="s">
        <v>23</v>
      </c>
      <c r="D33" s="534">
        <f>+D31-D32</f>
        <v>1</v>
      </c>
      <c r="F33" s="585"/>
      <c r="G33" s="585"/>
      <c r="H33" s="585"/>
      <c r="I33" s="585"/>
      <c r="J33" s="585"/>
      <c r="K33" s="585"/>
      <c r="L33" s="585"/>
      <c r="M33" s="585"/>
      <c r="N33" s="585"/>
      <c r="O33" s="585"/>
      <c r="P33" s="585"/>
      <c r="Q33" s="585"/>
      <c r="R33" s="585"/>
      <c r="S33" s="585"/>
      <c r="T33" s="585"/>
      <c r="X33" s="237"/>
      <c r="Y33" s="248"/>
    </row>
    <row r="34" spans="1:31" ht="15">
      <c r="A34" s="679"/>
      <c r="B34" s="539" t="s">
        <v>45</v>
      </c>
      <c r="C34" s="526" t="s">
        <v>5</v>
      </c>
      <c r="D34" s="527">
        <f>+(D29+(D29-((D29-D30)/D31)*D32))*D32/2</f>
        <v>1.3333333333333335</v>
      </c>
      <c r="F34" s="585"/>
      <c r="G34" s="585"/>
      <c r="H34" s="585"/>
      <c r="I34" s="585"/>
      <c r="J34" s="585"/>
      <c r="K34" s="585"/>
      <c r="L34" s="585"/>
      <c r="M34" s="585"/>
      <c r="N34" s="585"/>
      <c r="O34" s="585"/>
      <c r="P34" s="585"/>
      <c r="Q34" s="585"/>
      <c r="R34" s="585"/>
      <c r="S34" s="585"/>
      <c r="T34" s="585"/>
      <c r="X34" s="237"/>
      <c r="Y34" s="248"/>
    </row>
    <row r="35" spans="1:31" ht="15">
      <c r="A35" s="679"/>
      <c r="B35" s="539" t="s">
        <v>46</v>
      </c>
      <c r="C35" s="526" t="s">
        <v>5</v>
      </c>
      <c r="D35" s="527">
        <f>+((D30+(((D29-D30)/D31)*D33)+D30)/2)*D33</f>
        <v>1.6666666666666665</v>
      </c>
      <c r="F35" s="585"/>
      <c r="G35" s="585"/>
      <c r="H35" s="585"/>
      <c r="I35" s="585"/>
      <c r="J35" s="585"/>
      <c r="K35" s="585"/>
      <c r="L35" s="585"/>
      <c r="M35" s="585"/>
      <c r="N35" s="585"/>
      <c r="O35" s="585"/>
      <c r="P35" s="585"/>
      <c r="Q35" s="585"/>
      <c r="R35" s="585"/>
      <c r="S35" s="585"/>
      <c r="T35" s="585"/>
    </row>
    <row r="36" spans="1:31" ht="15">
      <c r="A36" s="679"/>
      <c r="B36" s="539" t="s">
        <v>28</v>
      </c>
      <c r="C36" s="526" t="s">
        <v>23</v>
      </c>
      <c r="D36" s="533">
        <f>'Input data'!D19</f>
        <v>40</v>
      </c>
      <c r="F36" s="585"/>
      <c r="G36" s="585"/>
      <c r="H36" s="585"/>
      <c r="I36" s="585"/>
      <c r="J36" s="585"/>
      <c r="K36" s="585"/>
      <c r="L36" s="585"/>
      <c r="M36" s="585"/>
      <c r="N36" s="585"/>
      <c r="O36" s="585"/>
      <c r="P36" s="585"/>
      <c r="Q36" s="585"/>
      <c r="R36" s="585"/>
      <c r="S36" s="585"/>
      <c r="T36" s="585"/>
    </row>
    <row r="37" spans="1:31" ht="15.75">
      <c r="A37" s="679"/>
      <c r="B37" s="539" t="s">
        <v>29</v>
      </c>
      <c r="C37" s="526" t="s">
        <v>6</v>
      </c>
      <c r="D37" s="540">
        <f>+D38+D39</f>
        <v>120</v>
      </c>
      <c r="F37" s="585"/>
      <c r="G37" s="585"/>
      <c r="H37" s="585"/>
      <c r="I37" s="585"/>
      <c r="J37" s="585"/>
      <c r="K37" s="585"/>
      <c r="L37" s="585"/>
      <c r="M37" s="585"/>
      <c r="N37" s="585"/>
      <c r="O37" s="585"/>
      <c r="P37" s="585"/>
      <c r="Q37" s="585"/>
      <c r="R37" s="585"/>
      <c r="S37" s="585"/>
      <c r="T37" s="585"/>
    </row>
    <row r="38" spans="1:31" ht="15.75">
      <c r="A38" s="679"/>
      <c r="B38" s="539" t="s">
        <v>30</v>
      </c>
      <c r="C38" s="526" t="s">
        <v>6</v>
      </c>
      <c r="D38" s="533">
        <f>+D34*D36</f>
        <v>53.333333333333343</v>
      </c>
      <c r="F38" s="585"/>
      <c r="G38" s="585"/>
      <c r="H38" s="585"/>
      <c r="I38" s="585"/>
      <c r="J38" s="585"/>
      <c r="K38" s="585"/>
      <c r="L38" s="585"/>
      <c r="M38" s="585"/>
      <c r="N38" s="585"/>
      <c r="O38" s="585"/>
      <c r="P38" s="585"/>
      <c r="Q38" s="585"/>
      <c r="R38" s="585"/>
      <c r="S38" s="585"/>
      <c r="T38" s="585"/>
      <c r="AB38" s="590" t="s">
        <v>293</v>
      </c>
      <c r="AC38" s="590"/>
      <c r="AD38" s="590"/>
      <c r="AE38" s="590"/>
    </row>
    <row r="39" spans="1:31" ht="15">
      <c r="A39" s="680"/>
      <c r="B39" s="539" t="s">
        <v>31</v>
      </c>
      <c r="C39" s="526" t="s">
        <v>6</v>
      </c>
      <c r="D39" s="533">
        <f>+D35*D36</f>
        <v>66.666666666666657</v>
      </c>
      <c r="F39" s="585"/>
      <c r="G39" s="585"/>
      <c r="H39" s="585"/>
      <c r="I39" s="585"/>
      <c r="J39" s="585"/>
      <c r="K39" s="585"/>
      <c r="L39" s="585"/>
      <c r="M39" s="585"/>
      <c r="N39" s="585"/>
      <c r="O39" s="585"/>
      <c r="P39" s="585"/>
      <c r="Q39" s="585"/>
      <c r="R39" s="585"/>
      <c r="S39" s="585"/>
      <c r="T39" s="585"/>
    </row>
    <row r="40" spans="1:31" ht="15">
      <c r="A40" s="678">
        <v>3</v>
      </c>
      <c r="B40" s="539" t="s">
        <v>32</v>
      </c>
      <c r="C40" s="526" t="s">
        <v>6</v>
      </c>
      <c r="D40" s="533">
        <f>+D37</f>
        <v>120</v>
      </c>
      <c r="F40" s="585"/>
      <c r="G40" s="585"/>
      <c r="H40" s="585"/>
      <c r="I40" s="585"/>
      <c r="J40" s="585"/>
      <c r="K40" s="585"/>
      <c r="L40" s="585"/>
      <c r="M40" s="585"/>
      <c r="N40" s="585"/>
      <c r="O40" s="585"/>
      <c r="P40" s="585"/>
      <c r="Q40" s="585"/>
      <c r="R40" s="585"/>
      <c r="S40" s="585"/>
      <c r="T40" s="585"/>
    </row>
    <row r="41" spans="1:31" ht="15">
      <c r="A41" s="679"/>
      <c r="B41" s="539" t="str">
        <f>+B44</f>
        <v>Transport of Clay 3.0 km Lead</v>
      </c>
      <c r="C41" s="526" t="s">
        <v>6</v>
      </c>
      <c r="D41" s="533">
        <f>+D40</f>
        <v>120</v>
      </c>
      <c r="F41" s="585"/>
      <c r="G41" s="585"/>
      <c r="H41" s="585"/>
      <c r="I41" s="585"/>
      <c r="J41" s="585"/>
      <c r="K41" s="585"/>
      <c r="L41" s="585"/>
      <c r="M41" s="585"/>
      <c r="N41" s="585"/>
      <c r="O41" s="585"/>
      <c r="P41" s="585"/>
      <c r="Q41" s="585"/>
      <c r="R41" s="585"/>
      <c r="S41" s="585"/>
      <c r="T41" s="585"/>
    </row>
    <row r="42" spans="1:31" ht="15">
      <c r="A42" s="680"/>
      <c r="B42" s="539" t="s">
        <v>315</v>
      </c>
      <c r="C42" s="526" t="s">
        <v>6</v>
      </c>
      <c r="D42" s="533">
        <f>+D41</f>
        <v>120</v>
      </c>
      <c r="F42" s="585"/>
      <c r="G42" s="585"/>
      <c r="H42" s="585"/>
      <c r="I42" s="585"/>
      <c r="J42" s="585"/>
      <c r="K42" s="585"/>
      <c r="L42" s="585"/>
      <c r="M42" s="585"/>
      <c r="N42" s="585"/>
      <c r="O42" s="585"/>
      <c r="P42" s="585"/>
      <c r="Q42" s="585"/>
      <c r="R42" s="585"/>
      <c r="S42" s="585"/>
      <c r="T42" s="585"/>
      <c r="AD42" s="1" t="s">
        <v>279</v>
      </c>
    </row>
    <row r="43" spans="1:31" ht="20.25" customHeight="1">
      <c r="A43" s="678">
        <v>4</v>
      </c>
      <c r="B43" s="539" t="s">
        <v>342</v>
      </c>
      <c r="C43" s="526" t="s">
        <v>6</v>
      </c>
      <c r="D43" s="540">
        <f>+'Qty estimate'!J21</f>
        <v>298.8</v>
      </c>
      <c r="F43" s="585"/>
      <c r="G43" s="585"/>
      <c r="H43" s="585"/>
      <c r="I43" s="585"/>
      <c r="J43" s="585"/>
      <c r="K43" s="585"/>
      <c r="L43" s="585"/>
      <c r="M43" s="585"/>
      <c r="N43" s="585"/>
      <c r="O43" s="585"/>
      <c r="P43" s="585"/>
      <c r="Q43" s="585"/>
      <c r="R43" s="585"/>
      <c r="S43" s="585"/>
      <c r="T43" s="585"/>
      <c r="W43" s="236" t="s">
        <v>185</v>
      </c>
      <c r="X43" s="236" t="s">
        <v>186</v>
      </c>
      <c r="Y43" s="236" t="s">
        <v>188</v>
      </c>
      <c r="Z43" s="236" t="s">
        <v>188</v>
      </c>
      <c r="AA43" s="236" t="s">
        <v>187</v>
      </c>
      <c r="AB43" s="236" t="s">
        <v>278</v>
      </c>
      <c r="AD43" s="236" t="s">
        <v>280</v>
      </c>
    </row>
    <row r="44" spans="1:31" ht="15">
      <c r="A44" s="679"/>
      <c r="B44" s="539" t="s">
        <v>312</v>
      </c>
      <c r="C44" s="526" t="s">
        <v>6</v>
      </c>
      <c r="D44" s="533">
        <f>+D43</f>
        <v>298.8</v>
      </c>
      <c r="F44" s="585"/>
      <c r="G44" s="585"/>
      <c r="H44" s="585"/>
      <c r="I44" s="585"/>
      <c r="J44" s="585"/>
      <c r="K44" s="585"/>
      <c r="L44" s="585"/>
      <c r="M44" s="585"/>
      <c r="N44" s="585"/>
      <c r="O44" s="585"/>
      <c r="P44" s="585"/>
      <c r="Q44" s="585"/>
      <c r="R44" s="585"/>
      <c r="S44" s="585"/>
      <c r="T44" s="585"/>
      <c r="W44" s="2">
        <f t="shared" ref="W44:W50" si="3">+X12</f>
        <v>0</v>
      </c>
      <c r="X44" s="2">
        <f>+'Qty estimate'!C5*D$23+Y44</f>
        <v>1.5</v>
      </c>
      <c r="Y44" s="2">
        <f>+D14/2</f>
        <v>1.5</v>
      </c>
      <c r="Z44" s="2">
        <f>-D14/2</f>
        <v>-1.5</v>
      </c>
      <c r="AA44" s="2">
        <f>-'Qty estimate'!C5*D$22+Z44</f>
        <v>-1.5</v>
      </c>
      <c r="AB44" s="236">
        <f>AA44+AD44</f>
        <v>-1.5</v>
      </c>
      <c r="AD44" s="237">
        <f>(('Qty estimate'!C5/(4*'Input data'!$D$24)+('Qty estimate'!C5*'Input data'!$D$24)/4))</f>
        <v>0</v>
      </c>
    </row>
    <row r="45" spans="1:31" ht="15">
      <c r="A45" s="680"/>
      <c r="B45" s="539" t="str">
        <f>+B42</f>
        <v>Transportation of water 2 km Lead rate as per sor</v>
      </c>
      <c r="C45" s="526" t="s">
        <v>6</v>
      </c>
      <c r="D45" s="533">
        <f>+D43</f>
        <v>298.8</v>
      </c>
      <c r="F45" s="585"/>
      <c r="G45" s="585"/>
      <c r="H45" s="585"/>
      <c r="I45" s="585"/>
      <c r="J45" s="585"/>
      <c r="K45" s="585"/>
      <c r="L45" s="585"/>
      <c r="M45" s="585"/>
      <c r="N45" s="585"/>
      <c r="O45" s="585"/>
      <c r="P45" s="585"/>
      <c r="Q45" s="585"/>
      <c r="R45" s="585"/>
      <c r="S45" s="585"/>
      <c r="T45" s="585"/>
      <c r="W45" s="2">
        <f t="shared" si="3"/>
        <v>4</v>
      </c>
      <c r="X45" s="2">
        <f>+'Qty estimate'!C6*D$23+Y45</f>
        <v>10.8</v>
      </c>
      <c r="Y45" s="2">
        <f>+Y44</f>
        <v>1.5</v>
      </c>
      <c r="Z45" s="2">
        <f>+Z44</f>
        <v>-1.5</v>
      </c>
      <c r="AA45" s="2">
        <f>-'Qty estimate'!C6*D$22+Z45</f>
        <v>-7.7</v>
      </c>
      <c r="AB45" s="237">
        <f t="shared" ref="AB45:AB54" si="4">AA45+AD45</f>
        <v>-5.7625000000000002</v>
      </c>
      <c r="AD45" s="237">
        <f>(('Qty estimate'!C6/(4*'Input data'!$D$24)+('Qty estimate'!C6*'Input data'!$D$24)/4))</f>
        <v>1.9375</v>
      </c>
    </row>
    <row r="46" spans="1:31" ht="15.75">
      <c r="A46" s="678">
        <v>5</v>
      </c>
      <c r="B46" s="539" t="s">
        <v>313</v>
      </c>
      <c r="C46" s="526" t="s">
        <v>6</v>
      </c>
      <c r="D46" s="540">
        <f>+'Qty estimate'!G21</f>
        <v>2140.0000000000005</v>
      </c>
      <c r="F46" s="585"/>
      <c r="G46" s="585"/>
      <c r="H46" s="585"/>
      <c r="I46" s="585"/>
      <c r="J46" s="585"/>
      <c r="K46" s="585"/>
      <c r="L46" s="585"/>
      <c r="M46" s="585"/>
      <c r="N46" s="585"/>
      <c r="O46" s="585"/>
      <c r="P46" s="585"/>
      <c r="Q46" s="585"/>
      <c r="R46" s="585"/>
      <c r="S46" s="585"/>
      <c r="T46" s="585"/>
      <c r="W46" s="2">
        <f t="shared" si="3"/>
        <v>8</v>
      </c>
      <c r="X46" s="2">
        <f>+'Qty estimate'!C7*D$23+Y46</f>
        <v>12.899999999999999</v>
      </c>
      <c r="Y46" s="2">
        <f t="shared" ref="Y46:Z54" si="5">+Y45</f>
        <v>1.5</v>
      </c>
      <c r="Z46" s="2">
        <f t="shared" si="5"/>
        <v>-1.5</v>
      </c>
      <c r="AA46" s="2">
        <f>-'Qty estimate'!C7*D$22+Z46</f>
        <v>-9.1</v>
      </c>
      <c r="AB46" s="237">
        <f t="shared" si="4"/>
        <v>-6.7249999999999996</v>
      </c>
      <c r="AD46" s="237">
        <f>(('Qty estimate'!C7/(4*'Input data'!$D$24)+('Qty estimate'!C7*'Input data'!$D$24)/4))</f>
        <v>2.375</v>
      </c>
    </row>
    <row r="47" spans="1:31" ht="15">
      <c r="A47" s="679"/>
      <c r="B47" s="539" t="s">
        <v>314</v>
      </c>
      <c r="C47" s="526" t="s">
        <v>6</v>
      </c>
      <c r="D47" s="533">
        <f>D46-D43</f>
        <v>1841.2000000000005</v>
      </c>
      <c r="F47" s="585"/>
      <c r="G47" s="585"/>
      <c r="H47" s="585"/>
      <c r="I47" s="585"/>
      <c r="J47" s="585"/>
      <c r="K47" s="585"/>
      <c r="L47" s="585"/>
      <c r="M47" s="585"/>
      <c r="N47" s="585"/>
      <c r="O47" s="585"/>
      <c r="P47" s="585"/>
      <c r="Q47" s="585"/>
      <c r="R47" s="585"/>
      <c r="S47" s="585"/>
      <c r="T47" s="585"/>
      <c r="W47" s="2">
        <f t="shared" si="3"/>
        <v>12</v>
      </c>
      <c r="X47" s="2">
        <f>+'Qty estimate'!C8*D$23+Y47</f>
        <v>14.100000000000001</v>
      </c>
      <c r="Y47" s="2">
        <f t="shared" si="5"/>
        <v>1.5</v>
      </c>
      <c r="Z47" s="2">
        <f t="shared" si="5"/>
        <v>-1.5</v>
      </c>
      <c r="AA47" s="2">
        <f>-'Qty estimate'!C8*D$22+Z47</f>
        <v>-9.9</v>
      </c>
      <c r="AB47" s="237">
        <f t="shared" si="4"/>
        <v>-7.2750000000000004</v>
      </c>
      <c r="AD47" s="237">
        <f>(('Qty estimate'!C8/(4*'Input data'!$D$24)+('Qty estimate'!C8*'Input data'!$D$24)/4))</f>
        <v>2.625</v>
      </c>
    </row>
    <row r="48" spans="1:31" ht="15">
      <c r="A48" s="679"/>
      <c r="B48" s="539" t="s">
        <v>316</v>
      </c>
      <c r="C48" s="541" t="s">
        <v>6</v>
      </c>
      <c r="D48" s="533">
        <f>+D47*0.7</f>
        <v>1288.8400000000004</v>
      </c>
      <c r="F48" s="585"/>
      <c r="G48" s="585"/>
      <c r="H48" s="585"/>
      <c r="I48" s="585"/>
      <c r="J48" s="585"/>
      <c r="K48" s="585"/>
      <c r="L48" s="585"/>
      <c r="M48" s="585"/>
      <c r="N48" s="585"/>
      <c r="O48" s="585"/>
      <c r="P48" s="585"/>
      <c r="Q48" s="585"/>
      <c r="R48" s="585"/>
      <c r="S48" s="585"/>
      <c r="T48" s="585"/>
      <c r="W48" s="2">
        <f t="shared" si="3"/>
        <v>16</v>
      </c>
      <c r="X48" s="2">
        <f>+'Qty estimate'!C9*D$23+Y48</f>
        <v>15.299999999999999</v>
      </c>
      <c r="Y48" s="2">
        <f t="shared" si="5"/>
        <v>1.5</v>
      </c>
      <c r="Z48" s="2">
        <f t="shared" si="5"/>
        <v>-1.5</v>
      </c>
      <c r="AA48" s="2">
        <f>-'Qty estimate'!C9*D$22+Z48</f>
        <v>-10.7</v>
      </c>
      <c r="AB48" s="237">
        <f t="shared" si="4"/>
        <v>-7.8249999999999993</v>
      </c>
      <c r="AD48" s="237">
        <f>(('Qty estimate'!C9/(4*'Input data'!$D$24)+('Qty estimate'!C9*'Input data'!$D$24)/4))</f>
        <v>2.875</v>
      </c>
    </row>
    <row r="49" spans="1:30" ht="18" customHeight="1">
      <c r="A49" s="680"/>
      <c r="B49" s="539" t="s">
        <v>317</v>
      </c>
      <c r="C49" s="542" t="s">
        <v>6</v>
      </c>
      <c r="D49" s="533">
        <f>+D47-D48</f>
        <v>552.36000000000013</v>
      </c>
      <c r="F49" s="585"/>
      <c r="G49" s="585"/>
      <c r="H49" s="585"/>
      <c r="I49" s="585"/>
      <c r="J49" s="585"/>
      <c r="K49" s="585"/>
      <c r="L49" s="585"/>
      <c r="M49" s="585"/>
      <c r="N49" s="585"/>
      <c r="O49" s="585"/>
      <c r="P49" s="585"/>
      <c r="Q49" s="585"/>
      <c r="R49" s="585"/>
      <c r="S49" s="585"/>
      <c r="T49" s="585"/>
      <c r="W49" s="2">
        <f t="shared" si="3"/>
        <v>20</v>
      </c>
      <c r="X49" s="2">
        <f>+'Qty estimate'!C10*D$23+Y49</f>
        <v>16.200000000000003</v>
      </c>
      <c r="Y49" s="2">
        <f t="shared" si="5"/>
        <v>1.5</v>
      </c>
      <c r="Z49" s="2">
        <f t="shared" si="5"/>
        <v>-1.5</v>
      </c>
      <c r="AA49" s="2">
        <f>-'Qty estimate'!C10*D$22+Z49</f>
        <v>-11.3</v>
      </c>
      <c r="AB49" s="237">
        <f t="shared" si="4"/>
        <v>-8.2375000000000007</v>
      </c>
      <c r="AD49" s="237">
        <f>(('Qty estimate'!C10/(4*'Input data'!$D$24)+('Qty estimate'!C10*'Input data'!$D$24)/4))</f>
        <v>3.0625</v>
      </c>
    </row>
    <row r="50" spans="1:30" ht="30">
      <c r="A50" s="526">
        <v>6</v>
      </c>
      <c r="B50" s="525" t="s">
        <v>271</v>
      </c>
      <c r="C50" s="526" t="s">
        <v>96</v>
      </c>
      <c r="D50" s="540">
        <f>+'Qty estimate'!M21</f>
        <v>320.36285495277059</v>
      </c>
      <c r="F50" s="585"/>
      <c r="G50" s="585"/>
      <c r="H50" s="585"/>
      <c r="I50" s="585"/>
      <c r="J50" s="585"/>
      <c r="K50" s="585"/>
      <c r="L50" s="585"/>
      <c r="M50" s="585"/>
      <c r="N50" s="585"/>
      <c r="O50" s="585"/>
      <c r="P50" s="585"/>
      <c r="Q50" s="585"/>
      <c r="R50" s="585"/>
      <c r="S50" s="585"/>
      <c r="T50" s="585"/>
      <c r="W50" s="2">
        <f t="shared" si="3"/>
        <v>24</v>
      </c>
      <c r="X50" s="2">
        <f>+'Qty estimate'!C11*D$23+Y50</f>
        <v>16.5</v>
      </c>
      <c r="Y50" s="2">
        <f t="shared" si="5"/>
        <v>1.5</v>
      </c>
      <c r="Z50" s="2">
        <f t="shared" si="5"/>
        <v>-1.5</v>
      </c>
      <c r="AA50" s="2">
        <f>-'Qty estimate'!C11*D$22+Z50</f>
        <v>-11.5</v>
      </c>
      <c r="AB50" s="237">
        <f t="shared" si="4"/>
        <v>-8.375</v>
      </c>
      <c r="AD50" s="237">
        <f>(('Qty estimate'!C11/(4*'Input data'!$D$24)+('Qty estimate'!C11*'Input data'!$D$24)/4))</f>
        <v>3.125</v>
      </c>
    </row>
    <row r="51" spans="1:30" ht="15.75">
      <c r="A51" s="526">
        <v>7</v>
      </c>
      <c r="B51" s="525" t="s">
        <v>180</v>
      </c>
      <c r="C51" s="526" t="s">
        <v>96</v>
      </c>
      <c r="D51" s="540">
        <f>'Qty estimate'!V21</f>
        <v>329.59641988346903</v>
      </c>
      <c r="F51" s="585"/>
      <c r="G51" s="585"/>
      <c r="H51" s="585"/>
      <c r="I51" s="585"/>
      <c r="J51" s="585"/>
      <c r="K51" s="585"/>
      <c r="L51" s="585"/>
      <c r="M51" s="585"/>
      <c r="N51" s="585"/>
      <c r="O51" s="585"/>
      <c r="P51" s="585"/>
      <c r="Q51" s="585"/>
      <c r="R51" s="585"/>
      <c r="S51" s="585"/>
      <c r="T51" s="585"/>
      <c r="W51" s="2">
        <f>+X19</f>
        <v>28</v>
      </c>
      <c r="X51" s="2">
        <f>+'Qty estimate'!C12*D$23+Y51</f>
        <v>16.200000000000003</v>
      </c>
      <c r="Y51" s="2">
        <f t="shared" si="5"/>
        <v>1.5</v>
      </c>
      <c r="Z51" s="2">
        <f t="shared" si="5"/>
        <v>-1.5</v>
      </c>
      <c r="AA51" s="2">
        <f>-'Qty estimate'!C12*D$22+Z51</f>
        <v>-11.3</v>
      </c>
      <c r="AB51" s="237">
        <f t="shared" si="4"/>
        <v>-8.2375000000000007</v>
      </c>
      <c r="AD51" s="237">
        <f>(('Qty estimate'!C12/(4*'Input data'!$D$24)+('Qty estimate'!C12*'Input data'!$D$24)/4))</f>
        <v>3.0625</v>
      </c>
    </row>
    <row r="52" spans="1:30" ht="15.75">
      <c r="A52" s="526">
        <v>8</v>
      </c>
      <c r="B52" s="537" t="s">
        <v>47</v>
      </c>
      <c r="C52" s="526" t="s">
        <v>6</v>
      </c>
      <c r="D52" s="540">
        <f>+'Qty estimate'!P21</f>
        <v>52.475000000000001</v>
      </c>
      <c r="F52" s="585"/>
      <c r="G52" s="585"/>
      <c r="H52" s="585"/>
      <c r="I52" s="585"/>
      <c r="J52" s="585"/>
      <c r="K52" s="585"/>
      <c r="L52" s="585"/>
      <c r="M52" s="585"/>
      <c r="N52" s="585"/>
      <c r="O52" s="585"/>
      <c r="P52" s="585"/>
      <c r="Q52" s="585"/>
      <c r="R52" s="585"/>
      <c r="S52" s="585"/>
      <c r="T52" s="585"/>
      <c r="W52" s="2">
        <f>+X20</f>
        <v>32</v>
      </c>
      <c r="X52" s="2">
        <f>+'Qty estimate'!C13*D$23+Y52</f>
        <v>15.299999999999999</v>
      </c>
      <c r="Y52" s="2">
        <f t="shared" si="5"/>
        <v>1.5</v>
      </c>
      <c r="Z52" s="2">
        <f t="shared" si="5"/>
        <v>-1.5</v>
      </c>
      <c r="AA52" s="2">
        <f>-'Qty estimate'!C13*D$22+Z52</f>
        <v>-10.7</v>
      </c>
      <c r="AB52" s="237">
        <f t="shared" si="4"/>
        <v>-7.8249999999999993</v>
      </c>
      <c r="AD52" s="237">
        <f>(('Qty estimate'!C13/(4*'Input data'!$D$24)+('Qty estimate'!C13*'Input data'!$D$24)/4))</f>
        <v>2.875</v>
      </c>
    </row>
    <row r="53" spans="1:30" ht="15.75">
      <c r="A53" s="678">
        <v>9</v>
      </c>
      <c r="B53" s="537" t="s">
        <v>165</v>
      </c>
      <c r="C53" s="526" t="s">
        <v>6</v>
      </c>
      <c r="D53" s="540">
        <f>+D18*(D13+'Input data'!D26)*D20</f>
        <v>394.59163088600172</v>
      </c>
      <c r="F53" s="585"/>
      <c r="G53" s="585"/>
      <c r="H53" s="585"/>
      <c r="I53" s="585"/>
      <c r="J53" s="585"/>
      <c r="K53" s="585"/>
      <c r="L53" s="585"/>
      <c r="M53" s="585"/>
      <c r="N53" s="585"/>
      <c r="O53" s="585"/>
      <c r="P53" s="585"/>
      <c r="Q53" s="585"/>
      <c r="R53" s="585"/>
      <c r="S53" s="585"/>
      <c r="T53" s="585"/>
      <c r="W53" s="2">
        <f>+X21</f>
        <v>36</v>
      </c>
      <c r="X53" s="2">
        <f>+'Qty estimate'!C14*D$23+Y53</f>
        <v>11.399999999999999</v>
      </c>
      <c r="Y53" s="2">
        <f t="shared" si="5"/>
        <v>1.5</v>
      </c>
      <c r="Z53" s="2">
        <f t="shared" si="5"/>
        <v>-1.5</v>
      </c>
      <c r="AA53" s="2">
        <f>-'Qty estimate'!C14*D$22+Z53</f>
        <v>-8.1</v>
      </c>
      <c r="AB53" s="237">
        <f t="shared" si="4"/>
        <v>-6.0374999999999996</v>
      </c>
      <c r="AD53" s="237">
        <f>(('Qty estimate'!C14/(4*'Input data'!$D$24)+('Qty estimate'!C14*'Input data'!$D$24)/4))</f>
        <v>2.0625</v>
      </c>
    </row>
    <row r="54" spans="1:30" ht="15">
      <c r="A54" s="680"/>
      <c r="B54" s="537" t="s">
        <v>189</v>
      </c>
      <c r="C54" s="526" t="s">
        <v>6</v>
      </c>
      <c r="D54" s="533">
        <f>+D53</f>
        <v>394.59163088600172</v>
      </c>
      <c r="F54" s="585"/>
      <c r="G54" s="585"/>
      <c r="H54" s="585"/>
      <c r="I54" s="585"/>
      <c r="J54" s="585"/>
      <c r="K54" s="585"/>
      <c r="L54" s="585"/>
      <c r="M54" s="585"/>
      <c r="N54" s="585"/>
      <c r="O54" s="585"/>
      <c r="P54" s="585"/>
      <c r="Q54" s="585"/>
      <c r="R54" s="585"/>
      <c r="S54" s="585"/>
      <c r="T54" s="585"/>
      <c r="W54" s="2">
        <f>+X22</f>
        <v>40</v>
      </c>
      <c r="X54" s="2">
        <f>+'Qty estimate'!C15*D$23+Y54</f>
        <v>1.5</v>
      </c>
      <c r="Y54" s="2">
        <f t="shared" si="5"/>
        <v>1.5</v>
      </c>
      <c r="Z54" s="2">
        <f t="shared" si="5"/>
        <v>-1.5</v>
      </c>
      <c r="AA54" s="2">
        <f>-'Qty estimate'!C15*D$22+Z54</f>
        <v>-1.5</v>
      </c>
      <c r="AB54" s="236">
        <f t="shared" si="4"/>
        <v>-1.5</v>
      </c>
      <c r="AD54" s="237">
        <f>(('Qty estimate'!C15/(4*'Input data'!$D$24)+('Qty estimate'!C15*'Input data'!$D$24)/4))</f>
        <v>0</v>
      </c>
    </row>
    <row r="55" spans="1:30" ht="19.5" customHeight="1">
      <c r="A55" s="544">
        <v>10</v>
      </c>
      <c r="B55" s="543" t="s">
        <v>53</v>
      </c>
      <c r="C55" s="544" t="s">
        <v>96</v>
      </c>
      <c r="D55" s="545">
        <f>30*(D9+1+1)</f>
        <v>247.90077661238178</v>
      </c>
      <c r="F55" s="585"/>
      <c r="G55" s="585"/>
      <c r="H55" s="585"/>
      <c r="I55" s="585"/>
      <c r="J55" s="585"/>
      <c r="K55" s="585"/>
      <c r="L55" s="585"/>
      <c r="M55" s="585"/>
      <c r="N55" s="585"/>
      <c r="O55" s="585"/>
      <c r="P55" s="585"/>
      <c r="Q55" s="585"/>
      <c r="R55" s="585"/>
      <c r="S55" s="585"/>
      <c r="T55" s="585"/>
      <c r="W55" s="2"/>
      <c r="X55" s="2"/>
      <c r="Y55" s="2"/>
      <c r="Z55" s="2"/>
      <c r="AA55" s="2"/>
    </row>
    <row r="56" spans="1:30" ht="15">
      <c r="A56" s="501"/>
      <c r="B56" s="501"/>
      <c r="C56" s="501"/>
      <c r="D56" s="501"/>
      <c r="F56" s="585"/>
      <c r="G56" s="585"/>
      <c r="H56" s="585"/>
      <c r="I56" s="585"/>
      <c r="J56" s="585"/>
      <c r="K56" s="585"/>
      <c r="L56" s="585"/>
      <c r="M56" s="585"/>
      <c r="N56" s="585"/>
      <c r="O56" s="585"/>
      <c r="P56" s="585"/>
      <c r="Q56" s="585"/>
      <c r="R56" s="585"/>
      <c r="S56" s="585"/>
      <c r="T56" s="585"/>
      <c r="W56" s="2"/>
      <c r="X56" s="2"/>
      <c r="Y56" s="2"/>
      <c r="Z56" s="2"/>
      <c r="AA56" s="2"/>
    </row>
    <row r="57" spans="1:30" ht="15">
      <c r="A57" s="501"/>
      <c r="B57" s="501"/>
      <c r="C57" s="501"/>
      <c r="D57" s="502"/>
      <c r="F57" s="585"/>
      <c r="G57" s="585"/>
      <c r="H57" s="585"/>
      <c r="I57" s="585"/>
      <c r="J57" s="585"/>
      <c r="K57" s="585"/>
      <c r="L57" s="585"/>
      <c r="M57" s="585"/>
      <c r="N57" s="585"/>
      <c r="O57" s="585"/>
      <c r="P57" s="585"/>
      <c r="Q57" s="585"/>
      <c r="R57" s="585"/>
      <c r="S57" s="585"/>
      <c r="T57" s="585"/>
      <c r="V57" s="236" t="s">
        <v>50</v>
      </c>
      <c r="W57" s="236" t="s">
        <v>199</v>
      </c>
      <c r="X57" s="236" t="s">
        <v>51</v>
      </c>
      <c r="Y57" s="236" t="s">
        <v>52</v>
      </c>
      <c r="Z57" s="236" t="s">
        <v>48</v>
      </c>
      <c r="AA57" s="2" t="s">
        <v>176</v>
      </c>
      <c r="AB57" s="2" t="s">
        <v>198</v>
      </c>
    </row>
    <row r="58" spans="1:30" ht="15.75">
      <c r="A58" s="501"/>
      <c r="B58" s="503"/>
      <c r="C58" s="501"/>
      <c r="D58" s="502"/>
      <c r="F58" s="306"/>
      <c r="G58" s="306"/>
      <c r="H58" s="306"/>
      <c r="I58" s="306"/>
      <c r="J58" s="306"/>
      <c r="L58" s="306"/>
      <c r="M58" s="306"/>
      <c r="N58" s="306"/>
      <c r="O58" s="306"/>
      <c r="P58" s="306"/>
      <c r="Q58" s="306"/>
      <c r="R58" s="306"/>
      <c r="S58" s="306"/>
      <c r="T58" s="306"/>
      <c r="V58" s="236">
        <v>0</v>
      </c>
      <c r="W58" s="236">
        <v>0</v>
      </c>
      <c r="Z58" s="237">
        <f>W62-(D13+D8)</f>
        <v>2.9</v>
      </c>
      <c r="AA58" s="287">
        <f>Z58+D8</f>
        <v>3.8</v>
      </c>
      <c r="AB58" s="2">
        <v>0</v>
      </c>
    </row>
    <row r="59" spans="1:30" ht="15">
      <c r="A59" s="504"/>
      <c r="B59" s="501"/>
      <c r="C59" s="501"/>
      <c r="D59" s="501"/>
      <c r="F59" s="306"/>
      <c r="G59" s="306"/>
      <c r="H59" s="306"/>
      <c r="J59" s="306" t="s">
        <v>339</v>
      </c>
      <c r="K59" s="306"/>
      <c r="L59" s="306"/>
      <c r="M59" s="306"/>
      <c r="N59" s="306"/>
      <c r="O59" s="306"/>
      <c r="P59" s="306"/>
      <c r="Q59" s="306"/>
      <c r="R59" s="306"/>
      <c r="S59" s="306"/>
      <c r="T59" s="306"/>
      <c r="V59" s="236">
        <f>AA59*'Input data'!D23-'Design Nala Bund Drg &amp; Summ (P)'!D8*'Input data'!D23</f>
        <v>8.6999999999999993</v>
      </c>
      <c r="W59" s="237">
        <f>+W58+(W62/V62)*V59</f>
        <v>2.8999999999999995</v>
      </c>
      <c r="Z59" s="237">
        <f>Z58</f>
        <v>2.9</v>
      </c>
      <c r="AA59" s="237">
        <f>AA58</f>
        <v>3.8</v>
      </c>
      <c r="AB59" s="287">
        <f>Z59</f>
        <v>2.9</v>
      </c>
    </row>
    <row r="60" spans="1:30" ht="15">
      <c r="A60" s="504"/>
      <c r="B60" s="501"/>
      <c r="C60" s="501"/>
      <c r="D60" s="501"/>
      <c r="F60" s="306"/>
      <c r="G60" s="306"/>
      <c r="H60" s="306"/>
      <c r="I60" s="306"/>
      <c r="J60" s="306"/>
      <c r="K60" s="306"/>
      <c r="L60" s="306"/>
      <c r="M60" s="306"/>
      <c r="N60" s="306"/>
      <c r="O60" s="306"/>
      <c r="P60" s="306"/>
      <c r="Q60" s="306"/>
      <c r="R60" s="306"/>
      <c r="S60" s="306"/>
      <c r="T60" s="306"/>
      <c r="V60" s="236">
        <f>(AA59)*'Input data'!D23</f>
        <v>11.399999999999999</v>
      </c>
      <c r="W60" s="237">
        <f>AA59</f>
        <v>3.8</v>
      </c>
      <c r="Z60" s="237"/>
      <c r="AA60" s="237">
        <f>AA59</f>
        <v>3.8</v>
      </c>
      <c r="AB60" s="237">
        <f>AA60</f>
        <v>3.8</v>
      </c>
    </row>
    <row r="61" spans="1:30" ht="15">
      <c r="A61" s="504"/>
      <c r="B61" s="501"/>
      <c r="C61" s="501"/>
      <c r="D61" s="501"/>
      <c r="F61" s="306"/>
      <c r="G61" s="307"/>
      <c r="J61" s="306"/>
      <c r="K61" s="306"/>
      <c r="L61" s="306"/>
      <c r="M61" s="306"/>
      <c r="N61" s="306"/>
      <c r="O61" s="306"/>
      <c r="P61" s="306"/>
      <c r="Q61" s="306"/>
      <c r="R61" s="306"/>
      <c r="S61" s="306"/>
      <c r="T61" s="306"/>
      <c r="V61" s="236">
        <f>+V60+(0.1*'Input data'!D23)</f>
        <v>11.7</v>
      </c>
      <c r="W61" s="237">
        <f>+W58+(W62/V62)*V61</f>
        <v>3.8999999999999995</v>
      </c>
      <c r="Z61" s="237"/>
      <c r="AA61" s="237"/>
      <c r="AB61" s="237">
        <f>+AB60+(0.1)</f>
        <v>3.9</v>
      </c>
    </row>
    <row r="62" spans="1:30" ht="15">
      <c r="A62" s="504"/>
      <c r="B62" s="581"/>
      <c r="C62" s="581"/>
      <c r="D62" s="581"/>
      <c r="F62" s="306"/>
      <c r="G62" s="307"/>
      <c r="H62" s="589" t="s">
        <v>340</v>
      </c>
      <c r="J62" s="306"/>
      <c r="K62" s="306"/>
      <c r="L62" s="306"/>
      <c r="M62" s="306"/>
      <c r="N62" s="306"/>
      <c r="O62" s="306"/>
      <c r="P62" s="306"/>
      <c r="Q62" s="306"/>
      <c r="R62" s="306"/>
      <c r="S62" s="306"/>
      <c r="T62" s="306"/>
      <c r="V62" s="236">
        <f>+D21*D23</f>
        <v>15</v>
      </c>
      <c r="W62" s="236">
        <f>+D21</f>
        <v>5</v>
      </c>
      <c r="X62" s="236">
        <v>0</v>
      </c>
      <c r="Y62" s="236">
        <v>0</v>
      </c>
    </row>
    <row r="63" spans="1:30" ht="15">
      <c r="A63" s="504"/>
      <c r="B63" s="501"/>
      <c r="C63" s="501"/>
      <c r="D63" s="501"/>
      <c r="F63" s="306"/>
      <c r="G63" s="306"/>
      <c r="H63" s="589"/>
      <c r="K63" s="566" t="s">
        <v>327</v>
      </c>
      <c r="L63" s="566"/>
      <c r="M63" s="566"/>
      <c r="N63" s="566"/>
      <c r="O63" s="582" t="s">
        <v>330</v>
      </c>
      <c r="P63" s="583"/>
      <c r="Q63" s="306"/>
      <c r="R63" s="584" t="s">
        <v>329</v>
      </c>
      <c r="S63" s="585"/>
      <c r="T63" s="585"/>
      <c r="V63" s="236">
        <f>V62</f>
        <v>15</v>
      </c>
      <c r="W63" s="236">
        <f>W62</f>
        <v>5</v>
      </c>
      <c r="X63" s="237">
        <f>+D21-D13</f>
        <v>3.8</v>
      </c>
      <c r="Y63" s="236">
        <v>0</v>
      </c>
      <c r="AA63" s="2"/>
      <c r="AB63" s="2"/>
    </row>
    <row r="64" spans="1:30">
      <c r="A64" s="309"/>
      <c r="B64" s="308"/>
      <c r="C64" s="308"/>
      <c r="D64" s="308"/>
      <c r="F64" s="306"/>
      <c r="G64" s="306"/>
      <c r="H64" s="306"/>
      <c r="I64" s="306"/>
      <c r="K64" s="566"/>
      <c r="L64" s="566"/>
      <c r="M64" s="566"/>
      <c r="N64" s="566"/>
      <c r="O64" s="583"/>
      <c r="P64" s="583"/>
      <c r="Q64" s="306"/>
      <c r="R64" s="585"/>
      <c r="S64" s="585"/>
      <c r="T64" s="585"/>
      <c r="V64" s="236">
        <f>+V62+(D29-D30)/2</f>
        <v>16</v>
      </c>
      <c r="W64" s="236">
        <f>+W62</f>
        <v>5</v>
      </c>
      <c r="X64" s="237">
        <f>X63</f>
        <v>3.8</v>
      </c>
      <c r="Y64" s="248">
        <f>-D17</f>
        <v>-1.5</v>
      </c>
      <c r="AA64" s="2"/>
      <c r="AB64" s="2"/>
    </row>
    <row r="65" spans="1:28">
      <c r="A65" s="309"/>
      <c r="B65" s="308"/>
      <c r="C65" s="308"/>
      <c r="D65" s="308"/>
      <c r="F65" s="306"/>
      <c r="G65" s="306"/>
      <c r="H65" s="306"/>
      <c r="I65" s="306"/>
      <c r="J65" s="589"/>
      <c r="K65" s="306"/>
      <c r="L65" s="306"/>
      <c r="M65" s="306"/>
      <c r="N65" s="306"/>
      <c r="O65" s="306"/>
      <c r="P65" s="306"/>
      <c r="Q65" s="306"/>
      <c r="R65" s="306"/>
      <c r="S65" s="306"/>
      <c r="T65" s="306"/>
      <c r="V65" s="248">
        <f>+V64+D30</f>
        <v>17</v>
      </c>
      <c r="W65" s="236">
        <f>+W64</f>
        <v>5</v>
      </c>
      <c r="X65" s="237">
        <f>X64</f>
        <v>3.8</v>
      </c>
      <c r="Y65" s="248">
        <f>+Y64</f>
        <v>-1.5</v>
      </c>
      <c r="AA65" s="2"/>
      <c r="AB65" s="2"/>
    </row>
    <row r="66" spans="1:28">
      <c r="A66" s="309"/>
      <c r="B66" s="308"/>
      <c r="C66" s="308"/>
      <c r="D66" s="308"/>
      <c r="F66" s="306"/>
      <c r="G66" s="306"/>
      <c r="H66" s="306"/>
      <c r="I66" s="306"/>
      <c r="J66" s="589"/>
      <c r="K66" s="306"/>
      <c r="L66" s="306"/>
      <c r="M66" s="306"/>
      <c r="N66" s="306"/>
      <c r="O66" s="306"/>
      <c r="P66" s="306"/>
      <c r="Q66" s="306"/>
      <c r="R66" s="306"/>
      <c r="S66" s="306"/>
      <c r="T66" s="306"/>
      <c r="V66" s="236">
        <f>+V65+(D29-D30)/2</f>
        <v>18</v>
      </c>
      <c r="W66" s="236">
        <f>+W64</f>
        <v>5</v>
      </c>
      <c r="X66" s="237">
        <f>+X63</f>
        <v>3.8</v>
      </c>
      <c r="Y66" s="248">
        <v>0</v>
      </c>
    </row>
    <row r="67" spans="1:28">
      <c r="A67" s="309"/>
      <c r="B67" s="308"/>
      <c r="C67" s="308"/>
      <c r="D67" s="308"/>
      <c r="F67" s="306"/>
      <c r="G67" s="306"/>
      <c r="H67" s="306"/>
      <c r="I67" s="306"/>
      <c r="J67" s="306"/>
      <c r="K67" s="306"/>
      <c r="L67" s="306"/>
      <c r="M67" s="306"/>
      <c r="N67" s="306"/>
      <c r="O67" s="306"/>
      <c r="P67" s="306"/>
      <c r="Q67" s="306"/>
      <c r="R67" s="306"/>
      <c r="S67" s="306"/>
      <c r="T67" s="306"/>
      <c r="V67" s="236">
        <f>+V66</f>
        <v>18</v>
      </c>
      <c r="W67" s="236">
        <f>+W66</f>
        <v>5</v>
      </c>
      <c r="X67" s="236">
        <v>0</v>
      </c>
      <c r="Y67" s="248">
        <f>+Y66</f>
        <v>0</v>
      </c>
    </row>
    <row r="68" spans="1:28">
      <c r="V68" s="236">
        <f>V67</f>
        <v>18</v>
      </c>
      <c r="W68" s="236">
        <f>+W64</f>
        <v>5</v>
      </c>
      <c r="Y68" s="248">
        <v>0</v>
      </c>
    </row>
    <row r="69" spans="1:28">
      <c r="V69" s="236">
        <f>+V68+W62*D22</f>
        <v>28</v>
      </c>
      <c r="W69" s="236">
        <v>0</v>
      </c>
    </row>
  </sheetData>
  <mergeCells count="37">
    <mergeCell ref="A28:A39"/>
    <mergeCell ref="A40:A42"/>
    <mergeCell ref="A43:A45"/>
    <mergeCell ref="A46:A49"/>
    <mergeCell ref="A53:A54"/>
    <mergeCell ref="J65:J66"/>
    <mergeCell ref="A2:B2"/>
    <mergeCell ref="A3:B3"/>
    <mergeCell ref="A4:B4"/>
    <mergeCell ref="A5:B5"/>
    <mergeCell ref="A6:B6"/>
    <mergeCell ref="A7:B7"/>
    <mergeCell ref="A8:B8"/>
    <mergeCell ref="A9:B9"/>
    <mergeCell ref="A11:B11"/>
    <mergeCell ref="A25:B25"/>
    <mergeCell ref="A13:B13"/>
    <mergeCell ref="A14:B14"/>
    <mergeCell ref="A15:B15"/>
    <mergeCell ref="A16:B16"/>
    <mergeCell ref="A17:B17"/>
    <mergeCell ref="A1:D1"/>
    <mergeCell ref="F1:T57"/>
    <mergeCell ref="AA9:AA10"/>
    <mergeCell ref="AB38:AE38"/>
    <mergeCell ref="B62:D62"/>
    <mergeCell ref="H62:H63"/>
    <mergeCell ref="K63:N64"/>
    <mergeCell ref="O63:P64"/>
    <mergeCell ref="R63:T64"/>
    <mergeCell ref="A12:B12"/>
    <mergeCell ref="A18:B18"/>
    <mergeCell ref="A19:B19"/>
    <mergeCell ref="A20:B20"/>
    <mergeCell ref="A21:B21"/>
    <mergeCell ref="A22:B22"/>
    <mergeCell ref="A23:B23"/>
  </mergeCells>
  <printOptions horizontalCentered="1" verticalCentered="1"/>
  <pageMargins left="0.25" right="0.25" top="0.36" bottom="0.25" header="0.3" footer="0.2"/>
  <pageSetup paperSize="9" scale="79" orientation="portrait" r:id="rId1"/>
  <headerFooter alignWithMargins="0"/>
  <rowBreaks count="1" manualBreakCount="1">
    <brk id="67" max="19" man="1"/>
  </rowBreaks>
  <colBreaks count="1" manualBreakCount="1">
    <brk id="4" max="5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J67"/>
  <sheetViews>
    <sheetView view="pageBreakPreview" topLeftCell="M1" zoomScale="60" workbookViewId="0">
      <selection activeCell="BK25" sqref="BK25"/>
    </sheetView>
  </sheetViews>
  <sheetFormatPr defaultColWidth="1.140625" defaultRowHeight="6.75" customHeight="1"/>
  <cols>
    <col min="1" max="12" width="1.140625" style="44" hidden="1" customWidth="1"/>
    <col min="13" max="19" width="1.140625" style="44"/>
    <col min="20" max="20" width="5.5703125" style="44" bestFit="1" customWidth="1"/>
    <col min="21" max="87" width="1.140625" style="44"/>
    <col min="88" max="88" width="2" style="44" bestFit="1" customWidth="1"/>
    <col min="89" max="16384" width="1.140625" style="44"/>
  </cols>
  <sheetData>
    <row r="3" spans="15:69" ht="6.75" customHeight="1">
      <c r="O3" s="47"/>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9"/>
    </row>
    <row r="4" spans="15:69" ht="6.75" customHeight="1">
      <c r="O4" s="50"/>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51"/>
    </row>
    <row r="5" spans="15:69" ht="6.75" customHeight="1">
      <c r="O5" s="50"/>
      <c r="P5" s="45"/>
      <c r="Q5" s="45"/>
      <c r="R5" s="45"/>
      <c r="S5" s="682" t="s">
        <v>182</v>
      </c>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682"/>
      <c r="BG5" s="682"/>
      <c r="BH5" s="45"/>
      <c r="BI5" s="45"/>
      <c r="BJ5" s="45"/>
      <c r="BK5" s="45"/>
      <c r="BL5" s="45"/>
      <c r="BM5" s="45"/>
      <c r="BN5" s="45"/>
      <c r="BO5" s="45"/>
      <c r="BP5" s="45"/>
      <c r="BQ5" s="51"/>
    </row>
    <row r="6" spans="15:69" ht="6.75" customHeight="1">
      <c r="O6" s="50"/>
      <c r="P6" s="45"/>
      <c r="Q6" s="45"/>
      <c r="R6" s="45"/>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2"/>
      <c r="BA6" s="682"/>
      <c r="BB6" s="682"/>
      <c r="BC6" s="682"/>
      <c r="BD6" s="682"/>
      <c r="BE6" s="682"/>
      <c r="BF6" s="682"/>
      <c r="BG6" s="682"/>
      <c r="BH6" s="45"/>
      <c r="BI6" s="45"/>
      <c r="BJ6" s="45"/>
      <c r="BK6" s="45"/>
      <c r="BL6" s="45"/>
      <c r="BM6" s="45"/>
      <c r="BN6" s="45"/>
      <c r="BO6" s="45"/>
      <c r="BP6" s="45"/>
      <c r="BQ6" s="51"/>
    </row>
    <row r="7" spans="15:69" ht="6.75" customHeight="1">
      <c r="O7" s="50"/>
      <c r="P7" s="45"/>
      <c r="Q7" s="45"/>
      <c r="R7" s="45"/>
      <c r="S7" s="45"/>
      <c r="T7" s="45"/>
      <c r="U7" s="45"/>
      <c r="V7" s="45"/>
      <c r="W7" s="45"/>
      <c r="X7" s="45"/>
      <c r="Y7" s="45"/>
      <c r="Z7" s="45"/>
      <c r="AA7" s="45"/>
      <c r="AB7" s="45"/>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45"/>
      <c r="BC7" s="45"/>
      <c r="BD7" s="45"/>
      <c r="BE7" s="45"/>
      <c r="BF7" s="45"/>
      <c r="BG7" s="45"/>
      <c r="BH7" s="45"/>
      <c r="BI7" s="45"/>
      <c r="BJ7" s="45"/>
      <c r="BK7" s="45"/>
      <c r="BL7" s="45"/>
      <c r="BM7" s="45"/>
      <c r="BN7" s="45"/>
      <c r="BO7" s="45"/>
      <c r="BP7" s="45"/>
      <c r="BQ7" s="51"/>
    </row>
    <row r="8" spans="15:69" ht="6.75" customHeight="1">
      <c r="O8" s="50"/>
      <c r="P8" s="45"/>
      <c r="Q8" s="45"/>
      <c r="R8" s="45"/>
      <c r="S8" s="45"/>
      <c r="T8" s="45"/>
      <c r="U8" s="45"/>
      <c r="V8" s="45"/>
      <c r="W8" s="45"/>
      <c r="X8" s="45"/>
      <c r="Y8" s="45"/>
      <c r="Z8" s="45"/>
      <c r="AA8" s="45"/>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45"/>
      <c r="BC8" s="45"/>
      <c r="BD8" s="45"/>
      <c r="BE8" s="45"/>
      <c r="BF8" s="45"/>
      <c r="BG8" s="45"/>
      <c r="BH8" s="45"/>
      <c r="BI8" s="45"/>
      <c r="BJ8" s="45"/>
      <c r="BK8" s="45"/>
      <c r="BL8" s="45"/>
      <c r="BM8" s="45"/>
      <c r="BN8" s="45"/>
      <c r="BO8" s="45"/>
      <c r="BP8" s="45"/>
      <c r="BQ8" s="51"/>
    </row>
    <row r="9" spans="15:69" ht="6.75" customHeight="1">
      <c r="O9" s="50"/>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51"/>
    </row>
    <row r="10" spans="15:69" ht="6.75" customHeight="1">
      <c r="O10" s="50"/>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51"/>
    </row>
    <row r="11" spans="15:69" ht="6.75" customHeight="1">
      <c r="O11" s="50"/>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51"/>
    </row>
    <row r="12" spans="15:69" ht="6.75" customHeight="1">
      <c r="O12" s="50"/>
      <c r="P12" s="45"/>
      <c r="Q12" s="45"/>
      <c r="R12" s="45"/>
      <c r="S12" s="45"/>
      <c r="T12" s="45"/>
      <c r="U12" s="45"/>
      <c r="V12" s="45"/>
      <c r="W12" s="45"/>
      <c r="X12" s="45"/>
      <c r="Y12" s="45"/>
      <c r="Z12" s="47"/>
      <c r="AA12" s="48"/>
      <c r="AB12" s="49"/>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7"/>
      <c r="BA12" s="48"/>
      <c r="BB12" s="49"/>
      <c r="BC12" s="45"/>
      <c r="BD12" s="45"/>
      <c r="BE12" s="45"/>
      <c r="BF12" s="45"/>
      <c r="BG12" s="45"/>
      <c r="BH12" s="45"/>
      <c r="BI12" s="45"/>
      <c r="BJ12" s="45"/>
      <c r="BK12" s="45"/>
      <c r="BL12" s="45"/>
      <c r="BM12" s="45"/>
      <c r="BN12" s="45"/>
      <c r="BO12" s="45"/>
      <c r="BP12" s="45"/>
      <c r="BQ12" s="51"/>
    </row>
    <row r="13" spans="15:69" ht="6.75" customHeight="1">
      <c r="O13" s="50"/>
      <c r="P13" s="45"/>
      <c r="Q13" s="45"/>
      <c r="R13" s="45"/>
      <c r="S13" s="45"/>
      <c r="T13" s="45"/>
      <c r="U13" s="45"/>
      <c r="V13" s="45"/>
      <c r="W13" s="45"/>
      <c r="X13" s="45"/>
      <c r="Y13" s="45"/>
      <c r="Z13" s="50"/>
      <c r="AA13" s="45"/>
      <c r="AB13" s="51"/>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50"/>
      <c r="BA13" s="45"/>
      <c r="BB13" s="51"/>
      <c r="BC13" s="45"/>
      <c r="BD13" s="45"/>
      <c r="BE13" s="45"/>
      <c r="BF13" s="45"/>
      <c r="BG13" s="45"/>
      <c r="BH13" s="45"/>
      <c r="BI13" s="45"/>
      <c r="BJ13" s="45"/>
      <c r="BK13" s="45"/>
      <c r="BL13" s="45"/>
      <c r="BM13" s="45"/>
      <c r="BN13" s="45"/>
      <c r="BO13" s="45"/>
      <c r="BP13" s="45"/>
      <c r="BQ13" s="51"/>
    </row>
    <row r="14" spans="15:69" ht="6.75" customHeight="1">
      <c r="O14" s="50"/>
      <c r="P14" s="45"/>
      <c r="Q14" s="45"/>
      <c r="R14" s="45"/>
      <c r="S14" s="45"/>
      <c r="T14" s="45"/>
      <c r="U14" s="45"/>
      <c r="V14" s="45"/>
      <c r="W14" s="45"/>
      <c r="X14" s="45"/>
      <c r="Y14" s="45"/>
      <c r="Z14" s="50"/>
      <c r="AA14" s="45"/>
      <c r="AB14" s="51"/>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688" t="s">
        <v>98</v>
      </c>
      <c r="BA14" s="685"/>
      <c r="BB14" s="689"/>
      <c r="BC14" s="45"/>
      <c r="BD14" s="45"/>
      <c r="BE14" s="45"/>
      <c r="BF14" s="45"/>
      <c r="BG14" s="45"/>
      <c r="BH14" s="45"/>
      <c r="BI14" s="45"/>
      <c r="BJ14" s="45"/>
      <c r="BK14" s="45"/>
      <c r="BL14" s="45"/>
      <c r="BM14" s="45"/>
      <c r="BN14" s="45"/>
      <c r="BO14" s="45"/>
      <c r="BP14" s="45"/>
      <c r="BQ14" s="51"/>
    </row>
    <row r="15" spans="15:69" ht="6.75" customHeight="1">
      <c r="O15" s="50"/>
      <c r="P15" s="45"/>
      <c r="Q15" s="45"/>
      <c r="R15" s="45"/>
      <c r="S15" s="45"/>
      <c r="T15" s="45"/>
      <c r="U15" s="683">
        <f>+'Design Nala Bund Drg &amp; Summary'!D13</f>
        <v>1.5</v>
      </c>
      <c r="V15" s="683"/>
      <c r="W15" s="683"/>
      <c r="X15" s="682" t="str">
        <f>+AM15</f>
        <v>M</v>
      </c>
      <c r="Y15" s="687"/>
      <c r="Z15" s="50"/>
      <c r="AA15" s="45"/>
      <c r="AB15" s="51"/>
      <c r="AC15" s="45"/>
      <c r="AD15" s="45"/>
      <c r="AE15" s="45"/>
      <c r="AF15" s="45"/>
      <c r="AG15" s="45"/>
      <c r="AH15" s="686">
        <f>+'Design Nala Bund Drg &amp; Summary'!D18</f>
        <v>6.2633592204127257</v>
      </c>
      <c r="AI15" s="686"/>
      <c r="AJ15" s="686"/>
      <c r="AK15" s="686"/>
      <c r="AL15" s="686"/>
      <c r="AM15" s="682" t="s">
        <v>8</v>
      </c>
      <c r="AN15" s="682"/>
      <c r="AO15" s="76"/>
      <c r="AP15" s="45"/>
      <c r="AQ15" s="45"/>
      <c r="AR15" s="45"/>
      <c r="AS15" s="45"/>
      <c r="AT15" s="45"/>
      <c r="AU15" s="45"/>
      <c r="AV15" s="45"/>
      <c r="AW15" s="45"/>
      <c r="AX15" s="45"/>
      <c r="AY15" s="45"/>
      <c r="AZ15" s="688"/>
      <c r="BA15" s="685"/>
      <c r="BB15" s="689"/>
      <c r="BC15" s="45"/>
      <c r="BD15" s="45"/>
      <c r="BE15" s="45"/>
      <c r="BF15" s="45"/>
      <c r="BG15" s="45"/>
      <c r="BH15" s="45"/>
      <c r="BI15" s="45"/>
      <c r="BJ15" s="45"/>
      <c r="BK15" s="45"/>
      <c r="BL15" s="45"/>
      <c r="BM15" s="45"/>
      <c r="BN15" s="45"/>
      <c r="BO15" s="45"/>
      <c r="BP15" s="45"/>
      <c r="BQ15" s="51"/>
    </row>
    <row r="16" spans="15:69" ht="6.75" customHeight="1">
      <c r="O16" s="50"/>
      <c r="P16" s="45"/>
      <c r="Q16" s="45"/>
      <c r="R16" s="45"/>
      <c r="S16" s="45"/>
      <c r="T16" s="45"/>
      <c r="U16" s="683"/>
      <c r="V16" s="683"/>
      <c r="W16" s="683"/>
      <c r="X16" s="682"/>
      <c r="Y16" s="687"/>
      <c r="Z16" s="50"/>
      <c r="AA16" s="45"/>
      <c r="AB16" s="51"/>
      <c r="AC16" s="45"/>
      <c r="AD16" s="45"/>
      <c r="AE16" s="45"/>
      <c r="AF16" s="45"/>
      <c r="AG16" s="45"/>
      <c r="AH16" s="686"/>
      <c r="AI16" s="686"/>
      <c r="AJ16" s="686"/>
      <c r="AK16" s="686"/>
      <c r="AL16" s="686"/>
      <c r="AM16" s="682"/>
      <c r="AN16" s="682"/>
      <c r="AO16" s="76"/>
      <c r="AP16" s="45"/>
      <c r="AQ16" s="45"/>
      <c r="AR16" s="45"/>
      <c r="AS16" s="45"/>
      <c r="AT16" s="45"/>
      <c r="AU16" s="45"/>
      <c r="AV16" s="45"/>
      <c r="AW16" s="45"/>
      <c r="AX16" s="45"/>
      <c r="AY16" s="45"/>
      <c r="AZ16" s="50"/>
      <c r="BA16" s="45"/>
      <c r="BB16" s="51"/>
      <c r="BC16" s="45"/>
      <c r="BD16" s="686">
        <f>+U15+U21</f>
        <v>2.1</v>
      </c>
      <c r="BE16" s="686"/>
      <c r="BF16" s="686"/>
      <c r="BG16" s="686"/>
      <c r="BH16" s="686"/>
      <c r="BI16" s="682" t="s">
        <v>8</v>
      </c>
      <c r="BJ16" s="682"/>
      <c r="BK16" s="45"/>
      <c r="BL16" s="45"/>
      <c r="BM16" s="45"/>
      <c r="BN16" s="45"/>
      <c r="BO16" s="45"/>
      <c r="BP16" s="45"/>
      <c r="BQ16" s="51"/>
    </row>
    <row r="17" spans="15:69" ht="6.75" customHeight="1">
      <c r="O17" s="50"/>
      <c r="P17" s="45"/>
      <c r="Q17" s="45"/>
      <c r="R17" s="45"/>
      <c r="S17" s="45"/>
      <c r="T17" s="45"/>
      <c r="U17" s="45"/>
      <c r="V17" s="45"/>
      <c r="W17" s="45"/>
      <c r="X17" s="45"/>
      <c r="Y17" s="45"/>
      <c r="Z17" s="50"/>
      <c r="AA17" s="45"/>
      <c r="AB17" s="51"/>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50"/>
      <c r="BA17" s="45"/>
      <c r="BB17" s="51"/>
      <c r="BC17" s="45"/>
      <c r="BD17" s="686"/>
      <c r="BE17" s="686"/>
      <c r="BF17" s="686"/>
      <c r="BG17" s="686"/>
      <c r="BH17" s="686"/>
      <c r="BI17" s="682"/>
      <c r="BJ17" s="682"/>
      <c r="BK17" s="45"/>
      <c r="BL17" s="45"/>
      <c r="BM17" s="45"/>
      <c r="BN17" s="45"/>
      <c r="BO17" s="45"/>
      <c r="BP17" s="45"/>
      <c r="BQ17" s="51"/>
    </row>
    <row r="18" spans="15:69" ht="6.75" customHeight="1">
      <c r="O18" s="50"/>
      <c r="P18" s="45"/>
      <c r="Q18" s="45"/>
      <c r="R18" s="45"/>
      <c r="S18" s="45"/>
      <c r="T18" s="45"/>
      <c r="U18" s="45"/>
      <c r="V18" s="45"/>
      <c r="W18" s="45"/>
      <c r="X18" s="45"/>
      <c r="Y18" s="45"/>
      <c r="Z18" s="688" t="s">
        <v>98</v>
      </c>
      <c r="AA18" s="685"/>
      <c r="AB18" s="689"/>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50"/>
      <c r="BA18" s="45"/>
      <c r="BB18" s="51"/>
      <c r="BC18" s="45"/>
      <c r="BD18" s="45"/>
      <c r="BE18" s="45"/>
      <c r="BF18" s="45"/>
      <c r="BG18" s="45"/>
      <c r="BH18" s="45"/>
      <c r="BI18" s="45"/>
      <c r="BJ18" s="45"/>
      <c r="BK18" s="45"/>
      <c r="BL18" s="45"/>
      <c r="BM18" s="45"/>
      <c r="BN18" s="45"/>
      <c r="BO18" s="45"/>
      <c r="BP18" s="45"/>
      <c r="BQ18" s="51"/>
    </row>
    <row r="19" spans="15:69" ht="6.75" customHeight="1">
      <c r="O19" s="50"/>
      <c r="P19" s="45"/>
      <c r="Q19" s="46"/>
      <c r="R19" s="46"/>
      <c r="S19" s="46"/>
      <c r="T19" s="46"/>
      <c r="U19" s="46"/>
      <c r="V19" s="46"/>
      <c r="W19" s="46"/>
      <c r="X19" s="46"/>
      <c r="Y19" s="46"/>
      <c r="Z19" s="688"/>
      <c r="AA19" s="685"/>
      <c r="AB19" s="689"/>
      <c r="AC19" s="54"/>
      <c r="AD19" s="55"/>
      <c r="AE19" s="55"/>
      <c r="AF19" s="55"/>
      <c r="AG19" s="55"/>
      <c r="AH19" s="55"/>
      <c r="AI19" s="55"/>
      <c r="AJ19" s="55"/>
      <c r="AK19" s="55"/>
      <c r="AL19" s="55"/>
      <c r="AM19" s="55"/>
      <c r="AN19" s="55"/>
      <c r="AO19" s="55"/>
      <c r="AP19" s="55"/>
      <c r="AQ19" s="55"/>
      <c r="AR19" s="55"/>
      <c r="AS19" s="55"/>
      <c r="AT19" s="55"/>
      <c r="AU19" s="55"/>
      <c r="AV19" s="55"/>
      <c r="AW19" s="55"/>
      <c r="AX19" s="55"/>
      <c r="AY19" s="56"/>
      <c r="AZ19" s="50"/>
      <c r="BA19" s="45"/>
      <c r="BB19" s="51"/>
      <c r="BC19" s="46"/>
      <c r="BD19" s="46"/>
      <c r="BE19" s="46"/>
      <c r="BF19" s="46"/>
      <c r="BG19" s="46"/>
      <c r="BH19" s="46"/>
      <c r="BI19" s="46"/>
      <c r="BJ19" s="46"/>
      <c r="BK19" s="46"/>
      <c r="BL19" s="46"/>
      <c r="BM19" s="46"/>
      <c r="BN19" s="46"/>
      <c r="BO19" s="46"/>
      <c r="BP19" s="46"/>
      <c r="BQ19" s="53"/>
    </row>
    <row r="20" spans="15:69" ht="6.75" customHeight="1">
      <c r="O20" s="50"/>
      <c r="P20" s="45"/>
      <c r="Q20" s="45"/>
      <c r="R20" s="45"/>
      <c r="S20" s="45"/>
      <c r="T20" s="45"/>
      <c r="U20" s="45"/>
      <c r="V20" s="45"/>
      <c r="W20" s="45"/>
      <c r="X20" s="45"/>
      <c r="Y20" s="45"/>
      <c r="Z20" s="50"/>
      <c r="AA20" s="45"/>
      <c r="AB20" s="51"/>
      <c r="AC20" s="50"/>
      <c r="AD20" s="45"/>
      <c r="AE20" s="45"/>
      <c r="AF20" s="45"/>
      <c r="AG20" s="45"/>
      <c r="AH20" s="45"/>
      <c r="AI20" s="45"/>
      <c r="AJ20" s="45"/>
      <c r="AK20" s="45"/>
      <c r="AL20" s="45"/>
      <c r="AM20" s="45"/>
      <c r="AN20" s="45"/>
      <c r="AO20" s="45"/>
      <c r="AP20" s="45"/>
      <c r="AQ20" s="45"/>
      <c r="AR20" s="45"/>
      <c r="AS20" s="45"/>
      <c r="AT20" s="45"/>
      <c r="AU20" s="45"/>
      <c r="AV20" s="45"/>
      <c r="AW20" s="45"/>
      <c r="AX20" s="45"/>
      <c r="AY20" s="51"/>
      <c r="AZ20" s="50"/>
      <c r="BA20" s="45"/>
      <c r="BB20" s="51"/>
      <c r="BC20" s="45"/>
      <c r="BD20" s="45"/>
      <c r="BE20" s="45"/>
      <c r="BF20" s="45"/>
      <c r="BG20" s="45"/>
      <c r="BH20" s="45"/>
      <c r="BI20" s="45"/>
      <c r="BJ20" s="45"/>
      <c r="BK20" s="45"/>
      <c r="BL20" s="45"/>
      <c r="BM20" s="45"/>
      <c r="BN20" s="45"/>
      <c r="BO20" s="45"/>
      <c r="BP20" s="45"/>
      <c r="BQ20" s="51"/>
    </row>
    <row r="21" spans="15:69" ht="6.75" customHeight="1">
      <c r="O21" s="50"/>
      <c r="P21" s="45"/>
      <c r="Q21" s="45"/>
      <c r="R21" s="45"/>
      <c r="S21" s="45"/>
      <c r="T21" s="45"/>
      <c r="U21" s="683">
        <v>0.6</v>
      </c>
      <c r="V21" s="683"/>
      <c r="W21" s="683"/>
      <c r="X21" s="682" t="s">
        <v>8</v>
      </c>
      <c r="Y21" s="687"/>
      <c r="Z21" s="50"/>
      <c r="AA21" s="45"/>
      <c r="AB21" s="51"/>
      <c r="AC21" s="50"/>
      <c r="AD21" s="45"/>
      <c r="AE21" s="45"/>
      <c r="AF21" s="45"/>
      <c r="AG21" s="45"/>
      <c r="AH21" s="45"/>
      <c r="AI21" s="45"/>
      <c r="AJ21" s="683">
        <v>0.6</v>
      </c>
      <c r="AK21" s="683"/>
      <c r="AL21" s="683"/>
      <c r="AM21" s="682" t="s">
        <v>8</v>
      </c>
      <c r="AN21" s="682"/>
      <c r="AO21" s="45"/>
      <c r="AP21" s="45"/>
      <c r="AQ21" s="45"/>
      <c r="AR21" s="45"/>
      <c r="AS21" s="45"/>
      <c r="AT21" s="45"/>
      <c r="AU21" s="45"/>
      <c r="AV21" s="45"/>
      <c r="AW21" s="45"/>
      <c r="AX21" s="45"/>
      <c r="AY21" s="51"/>
      <c r="AZ21" s="50"/>
      <c r="BA21" s="45"/>
      <c r="BB21" s="51"/>
      <c r="BC21" s="45"/>
      <c r="BD21" s="45"/>
      <c r="BE21" s="45"/>
      <c r="BF21" s="45"/>
      <c r="BG21" s="45"/>
      <c r="BH21" s="45"/>
      <c r="BI21" s="45"/>
      <c r="BJ21" s="45"/>
      <c r="BK21" s="45"/>
      <c r="BL21" s="45"/>
      <c r="BM21" s="45"/>
      <c r="BN21" s="45"/>
      <c r="BO21" s="45"/>
      <c r="BP21" s="45"/>
      <c r="BQ21" s="51"/>
    </row>
    <row r="22" spans="15:69" ht="6.75" customHeight="1">
      <c r="O22" s="50"/>
      <c r="P22" s="45"/>
      <c r="Q22" s="45"/>
      <c r="R22" s="45"/>
      <c r="S22" s="45"/>
      <c r="T22" s="45"/>
      <c r="U22" s="683"/>
      <c r="V22" s="683"/>
      <c r="W22" s="683"/>
      <c r="X22" s="682"/>
      <c r="Y22" s="687"/>
      <c r="Z22" s="50"/>
      <c r="AA22" s="45"/>
      <c r="AB22" s="51"/>
      <c r="AC22" s="50"/>
      <c r="AD22" s="45"/>
      <c r="AE22" s="45"/>
      <c r="AF22" s="45"/>
      <c r="AG22" s="45"/>
      <c r="AH22" s="45"/>
      <c r="AI22" s="45"/>
      <c r="AJ22" s="683"/>
      <c r="AK22" s="683"/>
      <c r="AL22" s="683"/>
      <c r="AM22" s="682"/>
      <c r="AN22" s="682"/>
      <c r="AO22" s="45"/>
      <c r="AP22" s="45"/>
      <c r="AQ22" s="45"/>
      <c r="AR22" s="45"/>
      <c r="AS22" s="45"/>
      <c r="AT22" s="45"/>
      <c r="AU22" s="45"/>
      <c r="AV22" s="45"/>
      <c r="AW22" s="45"/>
      <c r="AX22" s="45"/>
      <c r="AY22" s="51"/>
      <c r="AZ22" s="50"/>
      <c r="BA22" s="45"/>
      <c r="BB22" s="51"/>
      <c r="BC22" s="45"/>
      <c r="BD22" s="45"/>
      <c r="BE22" s="45"/>
      <c r="BF22" s="45"/>
      <c r="BG22" s="45"/>
      <c r="BH22" s="45"/>
      <c r="BI22" s="45"/>
      <c r="BJ22" s="45"/>
      <c r="BK22" s="45"/>
      <c r="BL22" s="45"/>
      <c r="BM22" s="45"/>
      <c r="BN22" s="45"/>
      <c r="BO22" s="45"/>
      <c r="BP22" s="45"/>
      <c r="BQ22" s="51"/>
    </row>
    <row r="23" spans="15:69" ht="6.75" customHeight="1">
      <c r="O23" s="50"/>
      <c r="P23" s="45"/>
      <c r="Q23" s="45"/>
      <c r="R23" s="45"/>
      <c r="S23" s="45"/>
      <c r="T23" s="45"/>
      <c r="U23" s="45"/>
      <c r="V23" s="45"/>
      <c r="W23" s="45"/>
      <c r="X23" s="45"/>
      <c r="Y23" s="45"/>
      <c r="Z23" s="50"/>
      <c r="AA23" s="45"/>
      <c r="AB23" s="51"/>
      <c r="AC23" s="52"/>
      <c r="AD23" s="46"/>
      <c r="AE23" s="46"/>
      <c r="AF23" s="46"/>
      <c r="AG23" s="46"/>
      <c r="AH23" s="46"/>
      <c r="AI23" s="46"/>
      <c r="AJ23" s="46"/>
      <c r="AK23" s="46"/>
      <c r="AL23" s="46"/>
      <c r="AM23" s="46"/>
      <c r="AN23" s="46"/>
      <c r="AO23" s="46"/>
      <c r="AP23" s="46"/>
      <c r="AQ23" s="46"/>
      <c r="AR23" s="46"/>
      <c r="AS23" s="46"/>
      <c r="AT23" s="46"/>
      <c r="AU23" s="46"/>
      <c r="AV23" s="46"/>
      <c r="AW23" s="46"/>
      <c r="AX23" s="46"/>
      <c r="AY23" s="53"/>
      <c r="AZ23" s="50"/>
      <c r="BA23" s="45"/>
      <c r="BB23" s="51"/>
      <c r="BC23" s="45"/>
      <c r="BD23" s="45"/>
      <c r="BE23" s="45"/>
      <c r="BF23" s="45"/>
      <c r="BG23" s="45"/>
      <c r="BH23" s="45"/>
      <c r="BI23" s="45"/>
      <c r="BJ23" s="45"/>
      <c r="BK23" s="45"/>
      <c r="BL23" s="45"/>
      <c r="BM23" s="45"/>
      <c r="BN23" s="45"/>
      <c r="BO23" s="45"/>
      <c r="BP23" s="45"/>
      <c r="BQ23" s="51"/>
    </row>
    <row r="24" spans="15:69" ht="6.75" customHeight="1">
      <c r="O24" s="50"/>
      <c r="P24" s="45"/>
      <c r="Q24" s="45"/>
      <c r="R24" s="45"/>
      <c r="S24" s="45"/>
      <c r="T24" s="45"/>
      <c r="U24" s="45"/>
      <c r="V24" s="45"/>
      <c r="W24" s="45"/>
      <c r="X24" s="45"/>
      <c r="Y24" s="57"/>
      <c r="Z24" s="58"/>
      <c r="AA24" s="58"/>
      <c r="AB24" s="58"/>
      <c r="AC24" s="60"/>
      <c r="AD24" s="57"/>
      <c r="AE24" s="58"/>
      <c r="AF24" s="58"/>
      <c r="AG24" s="58"/>
      <c r="AH24" s="58"/>
      <c r="AI24" s="58"/>
      <c r="AJ24" s="58"/>
      <c r="AK24" s="58"/>
      <c r="AL24" s="58"/>
      <c r="AM24" s="58"/>
      <c r="AN24" s="58"/>
      <c r="AO24" s="58"/>
      <c r="AP24" s="58"/>
      <c r="AQ24" s="58"/>
      <c r="AR24" s="58"/>
      <c r="AS24" s="58"/>
      <c r="AT24" s="58"/>
      <c r="AU24" s="58"/>
      <c r="AV24" s="58"/>
      <c r="AW24" s="58"/>
      <c r="AX24" s="58"/>
      <c r="AY24" s="57"/>
      <c r="AZ24" s="58"/>
      <c r="BA24" s="58"/>
      <c r="BB24" s="58"/>
      <c r="BC24" s="59"/>
      <c r="BD24" s="45"/>
      <c r="BE24" s="45"/>
      <c r="BF24" s="45"/>
      <c r="BG24" s="45"/>
      <c r="BH24" s="45"/>
      <c r="BI24" s="45"/>
      <c r="BJ24" s="45"/>
      <c r="BK24" s="45"/>
      <c r="BL24" s="45"/>
      <c r="BM24" s="45"/>
      <c r="BN24" s="45"/>
      <c r="BO24" s="45"/>
      <c r="BP24" s="45"/>
      <c r="BQ24" s="51"/>
    </row>
    <row r="25" spans="15:69" ht="6.75" customHeight="1">
      <c r="O25" s="50"/>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51"/>
    </row>
    <row r="26" spans="15:69" ht="6.75" customHeight="1">
      <c r="O26" s="50"/>
      <c r="P26" s="45"/>
      <c r="Q26" s="45"/>
      <c r="R26" s="45"/>
      <c r="S26" s="45"/>
      <c r="T26" s="45"/>
      <c r="U26" s="45"/>
      <c r="V26" s="45"/>
      <c r="W26" s="45"/>
      <c r="X26" s="45"/>
      <c r="Y26" s="45"/>
      <c r="Z26" s="45"/>
      <c r="AA26" s="45"/>
      <c r="AB26" s="45"/>
      <c r="AC26" s="45"/>
      <c r="AD26" s="45"/>
      <c r="AE26" s="45"/>
      <c r="AF26" s="681" t="s">
        <v>161</v>
      </c>
      <c r="AG26" s="681"/>
      <c r="AH26" s="681"/>
      <c r="AI26" s="681"/>
      <c r="AJ26" s="681"/>
      <c r="AK26" s="681"/>
      <c r="AL26" s="681"/>
      <c r="AM26" s="681"/>
      <c r="AN26" s="681"/>
      <c r="AO26" s="681"/>
      <c r="AP26" s="681"/>
      <c r="AQ26" s="681"/>
      <c r="AR26" s="681"/>
      <c r="AS26" s="681"/>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51"/>
    </row>
    <row r="27" spans="15:69" ht="6.75" customHeight="1">
      <c r="O27" s="50"/>
      <c r="P27" s="45"/>
      <c r="Q27" s="45"/>
      <c r="R27" s="45"/>
      <c r="S27" s="45"/>
      <c r="T27" s="690" t="s">
        <v>197</v>
      </c>
      <c r="U27" s="690"/>
      <c r="V27" s="690"/>
      <c r="W27" s="690"/>
      <c r="X27" s="690"/>
      <c r="Y27" s="690"/>
      <c r="Z27" s="690"/>
      <c r="AA27" s="690"/>
      <c r="AB27" s="690"/>
      <c r="AC27" s="690"/>
      <c r="AD27" s="45"/>
      <c r="AE27" s="45"/>
      <c r="AF27" s="681"/>
      <c r="AG27" s="681"/>
      <c r="AH27" s="681"/>
      <c r="AI27" s="681"/>
      <c r="AJ27" s="681"/>
      <c r="AK27" s="681"/>
      <c r="AL27" s="681"/>
      <c r="AM27" s="681"/>
      <c r="AN27" s="681"/>
      <c r="AO27" s="681"/>
      <c r="AP27" s="681"/>
      <c r="AQ27" s="681"/>
      <c r="AR27" s="681"/>
      <c r="AS27" s="681"/>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51"/>
    </row>
    <row r="28" spans="15:69" ht="6.75" customHeight="1">
      <c r="O28" s="50"/>
      <c r="P28" s="45"/>
      <c r="Q28" s="45"/>
      <c r="R28" s="45"/>
      <c r="S28" s="45"/>
      <c r="T28" s="690"/>
      <c r="U28" s="690"/>
      <c r="V28" s="690"/>
      <c r="W28" s="690"/>
      <c r="X28" s="690"/>
      <c r="Y28" s="690"/>
      <c r="Z28" s="690"/>
      <c r="AA28" s="690"/>
      <c r="AB28" s="690"/>
      <c r="AC28" s="690"/>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51"/>
    </row>
    <row r="29" spans="15:69" ht="6.75" customHeight="1">
      <c r="O29" s="50"/>
      <c r="P29" s="45"/>
      <c r="Q29" s="45"/>
      <c r="R29" s="45"/>
      <c r="S29" s="45"/>
      <c r="T29" s="690"/>
      <c r="U29" s="690"/>
      <c r="V29" s="690"/>
      <c r="W29" s="690"/>
      <c r="X29" s="690"/>
      <c r="Y29" s="690"/>
      <c r="Z29" s="690"/>
      <c r="AA29" s="690"/>
      <c r="AB29" s="690"/>
      <c r="AC29" s="690"/>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51"/>
    </row>
    <row r="30" spans="15:69" ht="6.75" customHeight="1">
      <c r="O30" s="50"/>
      <c r="P30" s="45"/>
      <c r="Q30" s="45"/>
      <c r="R30" s="45"/>
      <c r="S30" s="45"/>
      <c r="T30" s="690"/>
      <c r="U30" s="690"/>
      <c r="V30" s="690"/>
      <c r="W30" s="690"/>
      <c r="X30" s="690"/>
      <c r="Y30" s="690"/>
      <c r="Z30" s="690"/>
      <c r="AA30" s="690"/>
      <c r="AB30" s="690"/>
      <c r="AC30" s="690"/>
      <c r="AD30" s="45"/>
      <c r="AE30" s="45"/>
      <c r="AF30" s="45"/>
      <c r="AG30" s="45"/>
      <c r="AH30" s="45"/>
      <c r="AI30" s="45"/>
      <c r="AJ30" s="45"/>
      <c r="AK30" s="45"/>
      <c r="AL30" s="45"/>
      <c r="AM30" s="45"/>
      <c r="AN30" s="45"/>
      <c r="AO30" s="45"/>
      <c r="AP30" s="45"/>
      <c r="AQ30" s="45"/>
      <c r="AR30" s="45"/>
      <c r="AS30" s="45"/>
      <c r="AT30" s="45"/>
      <c r="AU30" s="45"/>
      <c r="AV30" s="45"/>
      <c r="AW30" s="682" t="s">
        <v>193</v>
      </c>
      <c r="AX30" s="682"/>
      <c r="AY30" s="682"/>
      <c r="AZ30" s="682"/>
      <c r="BA30" s="682"/>
      <c r="BB30" s="682"/>
      <c r="BC30" s="682"/>
      <c r="BD30" s="682"/>
      <c r="BE30" s="682"/>
      <c r="BF30" s="682"/>
      <c r="BG30" s="682"/>
      <c r="BH30" s="682"/>
      <c r="BI30" s="682"/>
      <c r="BJ30" s="682"/>
      <c r="BK30" s="682"/>
      <c r="BL30" s="682"/>
      <c r="BM30" s="45"/>
      <c r="BN30" s="45"/>
      <c r="BO30" s="45"/>
      <c r="BP30" s="45"/>
      <c r="BQ30" s="51"/>
    </row>
    <row r="31" spans="15:69" ht="6.75" customHeight="1">
      <c r="O31" s="50"/>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682"/>
      <c r="AX31" s="682"/>
      <c r="AY31" s="682"/>
      <c r="AZ31" s="682"/>
      <c r="BA31" s="682"/>
      <c r="BB31" s="682"/>
      <c r="BC31" s="682"/>
      <c r="BD31" s="682"/>
      <c r="BE31" s="682"/>
      <c r="BF31" s="682"/>
      <c r="BG31" s="682"/>
      <c r="BH31" s="682"/>
      <c r="BI31" s="682"/>
      <c r="BJ31" s="682"/>
      <c r="BK31" s="682"/>
      <c r="BL31" s="682"/>
      <c r="BM31" s="45"/>
      <c r="BN31" s="45"/>
      <c r="BO31" s="45"/>
      <c r="BP31" s="45"/>
      <c r="BQ31" s="51"/>
    </row>
    <row r="32" spans="15:69" ht="6.75" customHeight="1">
      <c r="O32" s="50"/>
      <c r="P32" s="45"/>
      <c r="Q32" s="45"/>
      <c r="R32" s="45"/>
      <c r="S32" s="45"/>
      <c r="T32" s="45"/>
      <c r="U32" s="45"/>
      <c r="V32" s="45"/>
      <c r="W32" s="45"/>
      <c r="X32" s="45"/>
      <c r="Y32" s="45"/>
      <c r="Z32" s="45"/>
      <c r="AA32" s="45"/>
      <c r="AB32" s="45"/>
      <c r="AC32" s="45"/>
      <c r="AD32" s="45"/>
      <c r="AE32" s="45"/>
      <c r="AF32" s="45"/>
      <c r="AG32" s="45"/>
      <c r="AH32" s="45"/>
      <c r="AI32" s="686">
        <f>+AH15+2*0.6</f>
        <v>7.4633592204127259</v>
      </c>
      <c r="AJ32" s="686"/>
      <c r="AK32" s="686"/>
      <c r="AL32" s="686"/>
      <c r="AM32" s="686"/>
      <c r="AN32" s="682" t="s">
        <v>8</v>
      </c>
      <c r="AO32" s="682"/>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51"/>
    </row>
    <row r="33" spans="15:88" ht="6.75" customHeight="1">
      <c r="O33" s="50"/>
      <c r="P33" s="45"/>
      <c r="Q33" s="45"/>
      <c r="R33" s="45"/>
      <c r="S33" s="45"/>
      <c r="T33" s="45"/>
      <c r="U33" s="45"/>
      <c r="V33" s="45"/>
      <c r="W33" s="45"/>
      <c r="X33" s="45"/>
      <c r="Y33" s="45"/>
      <c r="Z33" s="45"/>
      <c r="AA33" s="45"/>
      <c r="AB33" s="45"/>
      <c r="AC33" s="45"/>
      <c r="AD33" s="45"/>
      <c r="AE33" s="45"/>
      <c r="AF33" s="45"/>
      <c r="AG33" s="45"/>
      <c r="AH33" s="45"/>
      <c r="AI33" s="686"/>
      <c r="AJ33" s="686"/>
      <c r="AK33" s="686"/>
      <c r="AL33" s="686"/>
      <c r="AM33" s="686"/>
      <c r="AN33" s="682"/>
      <c r="AO33" s="682"/>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51"/>
    </row>
    <row r="34" spans="15:88" ht="6.75" customHeight="1">
      <c r="O34" s="50"/>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51"/>
    </row>
    <row r="35" spans="15:88" ht="6.75" customHeight="1">
      <c r="O35" s="50"/>
      <c r="P35" s="45"/>
      <c r="Q35" s="45"/>
      <c r="R35" s="45"/>
      <c r="S35" s="45"/>
      <c r="T35" s="45"/>
      <c r="U35" s="45"/>
      <c r="V35" s="45"/>
      <c r="W35" s="45"/>
      <c r="X35" s="45"/>
      <c r="Y35" s="67"/>
      <c r="Z35" s="47"/>
      <c r="AA35" s="48"/>
      <c r="AB35" s="49"/>
      <c r="AC35" s="68"/>
      <c r="AD35" s="45"/>
      <c r="AE35" s="45"/>
      <c r="AF35" s="45"/>
      <c r="AG35" s="45"/>
      <c r="AH35" s="45"/>
      <c r="AI35" s="45"/>
      <c r="AJ35" s="45"/>
      <c r="AK35" s="45"/>
      <c r="AL35" s="45"/>
      <c r="AM35" s="45"/>
      <c r="AN35" s="45"/>
      <c r="AO35" s="45"/>
      <c r="AP35" s="45"/>
      <c r="AQ35" s="45"/>
      <c r="AR35" s="45"/>
      <c r="AS35" s="45"/>
      <c r="AT35" s="45"/>
      <c r="AU35" s="45"/>
      <c r="AV35" s="45"/>
      <c r="AW35" s="45"/>
      <c r="AX35" s="45"/>
      <c r="AY35" s="67"/>
      <c r="AZ35" s="47"/>
      <c r="BA35" s="48"/>
      <c r="BB35" s="49"/>
      <c r="BC35" s="68"/>
      <c r="BD35" s="45"/>
      <c r="BE35" s="45"/>
      <c r="BF35" s="45"/>
      <c r="BG35" s="45"/>
      <c r="BH35" s="45"/>
      <c r="BI35" s="45"/>
      <c r="BJ35" s="45"/>
      <c r="BK35" s="45"/>
      <c r="BL35" s="45"/>
      <c r="BM35" s="45"/>
      <c r="BN35" s="45"/>
      <c r="BO35" s="45"/>
      <c r="BP35" s="45"/>
      <c r="BQ35" s="51"/>
    </row>
    <row r="36" spans="15:88" ht="6.75" customHeight="1">
      <c r="O36" s="50"/>
      <c r="P36" s="45"/>
      <c r="Q36" s="45"/>
      <c r="R36" s="45"/>
      <c r="S36" s="45"/>
      <c r="T36" s="45"/>
      <c r="U36" s="45"/>
      <c r="V36" s="45"/>
      <c r="W36" s="45"/>
      <c r="X36" s="45"/>
      <c r="Y36" s="62"/>
      <c r="Z36" s="50"/>
      <c r="AA36" s="45"/>
      <c r="AB36" s="51"/>
      <c r="AC36" s="63"/>
      <c r="AD36" s="45"/>
      <c r="AE36" s="45"/>
      <c r="AF36" s="45"/>
      <c r="AG36" s="45"/>
      <c r="AH36" s="45"/>
      <c r="AI36" s="45"/>
      <c r="AJ36" s="45"/>
      <c r="AK36" s="45"/>
      <c r="AL36" s="45"/>
      <c r="AM36" s="45"/>
      <c r="AN36" s="45"/>
      <c r="AO36" s="45"/>
      <c r="AP36" s="45"/>
      <c r="AQ36" s="45"/>
      <c r="AR36" s="45"/>
      <c r="AS36" s="45"/>
      <c r="AT36" s="45"/>
      <c r="AU36" s="45"/>
      <c r="AV36" s="45"/>
      <c r="AW36" s="45"/>
      <c r="AX36" s="45"/>
      <c r="AY36" s="62"/>
      <c r="AZ36" s="50"/>
      <c r="BA36" s="45"/>
      <c r="BB36" s="51"/>
      <c r="BC36" s="63"/>
      <c r="BD36" s="45"/>
      <c r="BE36" s="45"/>
      <c r="BF36" s="45"/>
      <c r="BG36" s="45"/>
      <c r="BH36" s="45"/>
      <c r="BI36" s="45"/>
      <c r="BJ36" s="45"/>
      <c r="BK36" s="45"/>
      <c r="BL36" s="45"/>
      <c r="BM36" s="45"/>
      <c r="BN36" s="45"/>
      <c r="BO36" s="45"/>
      <c r="BP36" s="45"/>
      <c r="BQ36" s="51"/>
    </row>
    <row r="37" spans="15:88" ht="6.75" customHeight="1">
      <c r="O37" s="50"/>
      <c r="P37" s="45"/>
      <c r="Q37" s="45"/>
      <c r="R37" s="45"/>
      <c r="S37" s="45"/>
      <c r="T37" s="45"/>
      <c r="U37" s="45"/>
      <c r="V37" s="45"/>
      <c r="W37" s="45"/>
      <c r="X37" s="45"/>
      <c r="Y37" s="62"/>
      <c r="Z37" s="50"/>
      <c r="AA37" s="45"/>
      <c r="AB37" s="51"/>
      <c r="AC37" s="63"/>
      <c r="AD37" s="45"/>
      <c r="AE37" s="45"/>
      <c r="AF37" s="45"/>
      <c r="AG37" s="45"/>
      <c r="AH37" s="45"/>
      <c r="AI37" s="45"/>
      <c r="AJ37" s="45"/>
      <c r="AK37" s="45"/>
      <c r="AL37" s="45"/>
      <c r="AM37" s="45"/>
      <c r="AN37" s="45"/>
      <c r="AO37" s="45"/>
      <c r="AP37" s="45"/>
      <c r="AQ37" s="45"/>
      <c r="AR37" s="45"/>
      <c r="AS37" s="45"/>
      <c r="AT37" s="45"/>
      <c r="AU37" s="45"/>
      <c r="AV37" s="45"/>
      <c r="AW37" s="45"/>
      <c r="AX37" s="45"/>
      <c r="AY37" s="62"/>
      <c r="AZ37" s="50"/>
      <c r="BA37" s="45"/>
      <c r="BB37" s="51"/>
      <c r="BC37" s="63"/>
      <c r="BD37" s="45"/>
      <c r="BE37" s="45"/>
      <c r="BF37" s="45"/>
      <c r="BG37" s="45"/>
      <c r="BH37" s="45"/>
      <c r="BI37" s="45"/>
      <c r="BJ37" s="45"/>
      <c r="BK37" s="45"/>
      <c r="BL37" s="45"/>
      <c r="BM37" s="45"/>
      <c r="BN37" s="45"/>
      <c r="BO37" s="45"/>
      <c r="BP37" s="45"/>
      <c r="BQ37" s="51"/>
    </row>
    <row r="38" spans="15:88" ht="6.75" customHeight="1">
      <c r="O38" s="50"/>
      <c r="P38" s="45"/>
      <c r="Q38" s="45"/>
      <c r="R38" s="45"/>
      <c r="S38" s="45"/>
      <c r="T38" s="45"/>
      <c r="U38" s="45"/>
      <c r="V38" s="45"/>
      <c r="W38" s="45"/>
      <c r="X38" s="45"/>
      <c r="Y38" s="62"/>
      <c r="Z38" s="50"/>
      <c r="AA38" s="45"/>
      <c r="AB38" s="51"/>
      <c r="AC38" s="63"/>
      <c r="AD38" s="45"/>
      <c r="AE38" s="45"/>
      <c r="AF38" s="45"/>
      <c r="AG38" s="45"/>
      <c r="AH38" s="45"/>
      <c r="AI38" s="45"/>
      <c r="AJ38" s="45"/>
      <c r="AK38" s="45"/>
      <c r="AL38" s="45"/>
      <c r="AM38" s="45"/>
      <c r="AN38" s="45"/>
      <c r="AO38" s="45"/>
      <c r="AP38" s="45"/>
      <c r="AQ38" s="45"/>
      <c r="AR38" s="45"/>
      <c r="AS38" s="45"/>
      <c r="AT38" s="45"/>
      <c r="AU38" s="45"/>
      <c r="AV38" s="45"/>
      <c r="AW38" s="45"/>
      <c r="AX38" s="45"/>
      <c r="AY38" s="62"/>
      <c r="AZ38" s="688" t="s">
        <v>98</v>
      </c>
      <c r="BA38" s="685"/>
      <c r="BB38" s="689"/>
      <c r="BC38" s="63"/>
      <c r="BD38" s="45"/>
      <c r="BE38" s="45"/>
      <c r="BF38" s="45"/>
      <c r="BG38" s="45"/>
      <c r="BH38" s="45"/>
      <c r="BI38" s="45"/>
      <c r="BJ38" s="45"/>
      <c r="BK38" s="45"/>
      <c r="BL38" s="45"/>
      <c r="BM38" s="45"/>
      <c r="BN38" s="45"/>
      <c r="BO38" s="45"/>
      <c r="BP38" s="45"/>
      <c r="BQ38" s="51"/>
    </row>
    <row r="39" spans="15:88" ht="6.75" customHeight="1">
      <c r="O39" s="50"/>
      <c r="P39" s="45"/>
      <c r="Q39" s="45"/>
      <c r="R39" s="45"/>
      <c r="S39" s="45"/>
      <c r="T39" s="45"/>
      <c r="U39" s="45"/>
      <c r="V39" s="45"/>
      <c r="W39" s="45"/>
      <c r="X39" s="45"/>
      <c r="Y39" s="62"/>
      <c r="Z39" s="50"/>
      <c r="AA39" s="45"/>
      <c r="AB39" s="51"/>
      <c r="AC39" s="64"/>
      <c r="AD39" s="61"/>
      <c r="AE39" s="61"/>
      <c r="AF39" s="61"/>
      <c r="AG39" s="61"/>
      <c r="AH39" s="61"/>
      <c r="AI39" s="61"/>
      <c r="AJ39" s="61"/>
      <c r="AK39" s="61"/>
      <c r="AL39" s="61"/>
      <c r="AM39" s="61"/>
      <c r="AN39" s="61"/>
      <c r="AO39" s="61"/>
      <c r="AP39" s="61"/>
      <c r="AQ39" s="61"/>
      <c r="AR39" s="61"/>
      <c r="AS39" s="61"/>
      <c r="AT39" s="61"/>
      <c r="AU39" s="61"/>
      <c r="AV39" s="61"/>
      <c r="AW39" s="61"/>
      <c r="AX39" s="61"/>
      <c r="AY39" s="71"/>
      <c r="AZ39" s="688"/>
      <c r="BA39" s="685"/>
      <c r="BB39" s="689"/>
      <c r="BC39" s="63"/>
      <c r="BD39" s="45"/>
      <c r="BE39" s="45"/>
      <c r="BF39" s="45"/>
      <c r="BG39" s="45"/>
      <c r="BH39" s="45"/>
      <c r="BI39" s="45"/>
      <c r="BJ39" s="45"/>
      <c r="BK39" s="45"/>
      <c r="BL39" s="45"/>
      <c r="BM39" s="45"/>
      <c r="BN39" s="45"/>
      <c r="BO39" s="45"/>
      <c r="BP39" s="45"/>
      <c r="BQ39" s="51"/>
    </row>
    <row r="40" spans="15:88" ht="6.75" customHeight="1">
      <c r="O40" s="50"/>
      <c r="P40" s="45"/>
      <c r="Q40" s="45"/>
      <c r="R40" s="45"/>
      <c r="S40" s="45"/>
      <c r="T40" s="45"/>
      <c r="U40" s="45"/>
      <c r="V40" s="45"/>
      <c r="W40" s="45"/>
      <c r="X40" s="45"/>
      <c r="Y40" s="62"/>
      <c r="Z40" s="688" t="s">
        <v>98</v>
      </c>
      <c r="AA40" s="685"/>
      <c r="AB40" s="689"/>
      <c r="AC40" s="65"/>
      <c r="AD40" s="48"/>
      <c r="AE40" s="48"/>
      <c r="AF40" s="48"/>
      <c r="AG40" s="48"/>
      <c r="AH40" s="48"/>
      <c r="AI40" s="48"/>
      <c r="AJ40" s="48"/>
      <c r="AK40" s="48"/>
      <c r="AL40" s="48"/>
      <c r="AM40" s="48"/>
      <c r="AN40" s="48"/>
      <c r="AO40" s="48"/>
      <c r="AP40" s="48"/>
      <c r="AQ40" s="48"/>
      <c r="AR40" s="48"/>
      <c r="AS40" s="48"/>
      <c r="AT40" s="48"/>
      <c r="AU40" s="48"/>
      <c r="AV40" s="48"/>
      <c r="AW40" s="48"/>
      <c r="AX40" s="48"/>
      <c r="AY40" s="72"/>
      <c r="AZ40" s="50"/>
      <c r="BA40" s="45"/>
      <c r="BB40" s="51"/>
      <c r="BC40" s="63"/>
      <c r="BD40" s="45"/>
      <c r="BE40" s="45"/>
      <c r="BF40" s="686">
        <f>'Qty estimate'!Q14</f>
        <v>19.5</v>
      </c>
      <c r="BG40" s="686"/>
      <c r="BH40" s="686"/>
      <c r="BI40" s="686"/>
      <c r="BJ40" s="686"/>
      <c r="BK40" s="682" t="s">
        <v>8</v>
      </c>
      <c r="BL40" s="682"/>
      <c r="BM40" s="45"/>
      <c r="BN40" s="45"/>
      <c r="BO40" s="45"/>
      <c r="BP40" s="45"/>
      <c r="BQ40" s="51"/>
      <c r="CJ40" s="44">
        <v>1</v>
      </c>
    </row>
    <row r="41" spans="15:88" ht="6.75" customHeight="1">
      <c r="O41" s="50"/>
      <c r="P41" s="45"/>
      <c r="Q41" s="45"/>
      <c r="R41" s="45"/>
      <c r="S41" s="45"/>
      <c r="T41" s="45"/>
      <c r="U41" s="45"/>
      <c r="V41" s="45"/>
      <c r="W41" s="45"/>
      <c r="X41" s="45"/>
      <c r="Y41" s="62"/>
      <c r="Z41" s="688"/>
      <c r="AA41" s="685"/>
      <c r="AB41" s="689"/>
      <c r="AC41" s="74"/>
      <c r="AD41" s="45"/>
      <c r="AE41" s="45"/>
      <c r="AF41" s="45"/>
      <c r="AG41" s="45"/>
      <c r="AH41" s="45"/>
      <c r="AI41" s="45"/>
      <c r="AJ41" s="45"/>
      <c r="AK41" s="45"/>
      <c r="AL41" s="685" t="s">
        <v>98</v>
      </c>
      <c r="AM41" s="685"/>
      <c r="AN41" s="685"/>
      <c r="AO41" s="45"/>
      <c r="AP41" s="45"/>
      <c r="AQ41" s="45"/>
      <c r="AR41" s="45"/>
      <c r="AS41" s="45"/>
      <c r="AT41" s="45"/>
      <c r="AU41" s="45"/>
      <c r="AV41" s="45"/>
      <c r="AW41" s="45"/>
      <c r="AX41" s="45"/>
      <c r="AY41" s="75"/>
      <c r="AZ41" s="50"/>
      <c r="BA41" s="45"/>
      <c r="BB41" s="51"/>
      <c r="BC41" s="63"/>
      <c r="BD41" s="45"/>
      <c r="BE41" s="45"/>
      <c r="BF41" s="686"/>
      <c r="BG41" s="686"/>
      <c r="BH41" s="686"/>
      <c r="BI41" s="686"/>
      <c r="BJ41" s="686"/>
      <c r="BK41" s="682"/>
      <c r="BL41" s="682"/>
      <c r="BM41" s="45"/>
      <c r="BN41" s="45"/>
      <c r="BO41" s="45"/>
      <c r="BP41" s="45"/>
      <c r="BQ41" s="51"/>
    </row>
    <row r="42" spans="15:88" ht="6.75" customHeight="1">
      <c r="O42" s="50"/>
      <c r="P42" s="45"/>
      <c r="Q42" s="45"/>
      <c r="R42" s="45"/>
      <c r="S42" s="45"/>
      <c r="T42" s="45"/>
      <c r="U42" s="45"/>
      <c r="V42" s="45"/>
      <c r="W42" s="45"/>
      <c r="X42" s="45"/>
      <c r="Y42" s="62"/>
      <c r="Z42" s="688"/>
      <c r="AA42" s="685"/>
      <c r="AB42" s="689"/>
      <c r="AC42" s="66"/>
      <c r="AD42" s="46"/>
      <c r="AE42" s="46"/>
      <c r="AF42" s="46"/>
      <c r="AG42" s="46"/>
      <c r="AH42" s="46"/>
      <c r="AI42" s="46"/>
      <c r="AJ42" s="46"/>
      <c r="AK42" s="46"/>
      <c r="AL42" s="691"/>
      <c r="AM42" s="691"/>
      <c r="AN42" s="691"/>
      <c r="AO42" s="46"/>
      <c r="AP42" s="46"/>
      <c r="AQ42" s="46"/>
      <c r="AR42" s="46"/>
      <c r="AS42" s="46"/>
      <c r="AT42" s="46"/>
      <c r="AU42" s="46"/>
      <c r="AV42" s="46"/>
      <c r="AW42" s="46"/>
      <c r="AX42" s="46"/>
      <c r="AY42" s="73"/>
      <c r="AZ42" s="50"/>
      <c r="BA42" s="45"/>
      <c r="BB42" s="51"/>
      <c r="BC42" s="63"/>
      <c r="BD42" s="45"/>
      <c r="BE42" s="45"/>
      <c r="BF42" s="45"/>
      <c r="BG42" s="45"/>
      <c r="BH42" s="45"/>
      <c r="BI42" s="45"/>
      <c r="BJ42" s="45"/>
      <c r="BK42" s="45"/>
      <c r="BL42" s="45"/>
      <c r="BM42" s="45"/>
      <c r="BN42" s="45"/>
      <c r="BO42" s="45"/>
      <c r="BP42" s="45"/>
      <c r="BQ42" s="51"/>
    </row>
    <row r="43" spans="15:88" ht="6.75" customHeight="1">
      <c r="O43" s="50"/>
      <c r="P43" s="45"/>
      <c r="Q43" s="45"/>
      <c r="R43" s="45"/>
      <c r="S43" s="45"/>
      <c r="T43" s="45"/>
      <c r="U43" s="45"/>
      <c r="V43" s="45"/>
      <c r="W43" s="45"/>
      <c r="X43" s="45"/>
      <c r="Y43" s="62"/>
      <c r="Z43" s="50"/>
      <c r="AA43" s="45"/>
      <c r="AB43" s="51"/>
      <c r="AC43" s="77"/>
      <c r="AD43" s="78"/>
      <c r="AE43" s="78"/>
      <c r="AF43" s="78"/>
      <c r="AG43" s="78"/>
      <c r="AH43" s="78"/>
      <c r="AI43" s="78"/>
      <c r="AJ43" s="78"/>
      <c r="AK43" s="78"/>
      <c r="AL43" s="78"/>
      <c r="AM43" s="78"/>
      <c r="AN43" s="78"/>
      <c r="AO43" s="78"/>
      <c r="AP43" s="78"/>
      <c r="AQ43" s="78"/>
      <c r="AR43" s="78"/>
      <c r="AS43" s="78"/>
      <c r="AT43" s="78"/>
      <c r="AU43" s="78"/>
      <c r="AV43" s="78"/>
      <c r="AW43" s="78"/>
      <c r="AX43" s="78"/>
      <c r="AY43" s="79"/>
      <c r="AZ43" s="50"/>
      <c r="BA43" s="45"/>
      <c r="BB43" s="51"/>
      <c r="BC43" s="63"/>
      <c r="BD43" s="45"/>
      <c r="BE43" s="45"/>
      <c r="BF43" s="45"/>
      <c r="BG43" s="45"/>
      <c r="BH43" s="45"/>
      <c r="BI43" s="45"/>
      <c r="BJ43" s="45"/>
      <c r="BK43" s="45"/>
      <c r="BL43" s="45"/>
      <c r="BM43" s="45"/>
      <c r="BN43" s="45"/>
      <c r="BO43" s="45"/>
      <c r="BP43" s="45"/>
      <c r="BQ43" s="51"/>
    </row>
    <row r="44" spans="15:88" ht="6.75" customHeight="1">
      <c r="O44" s="50"/>
      <c r="P44" s="45"/>
      <c r="Q44" s="45"/>
      <c r="R44" s="45"/>
      <c r="S44" s="45"/>
      <c r="T44" s="45"/>
      <c r="U44" s="45"/>
      <c r="V44" s="45"/>
      <c r="W44" s="45"/>
      <c r="X44" s="45"/>
      <c r="Y44" s="62"/>
      <c r="Z44" s="50"/>
      <c r="AA44" s="45"/>
      <c r="AB44" s="51"/>
      <c r="AC44" s="74"/>
      <c r="AD44" s="216"/>
      <c r="AE44" s="217"/>
      <c r="AF44" s="217"/>
      <c r="AG44" s="217"/>
      <c r="AH44" s="217"/>
      <c r="AI44" s="217"/>
      <c r="AJ44" s="217"/>
      <c r="AK44" s="217"/>
      <c r="AL44" s="217"/>
      <c r="AM44" s="217"/>
      <c r="AN44" s="217"/>
      <c r="AO44" s="217"/>
      <c r="AP44" s="217"/>
      <c r="AQ44" s="217"/>
      <c r="AR44" s="217"/>
      <c r="AS44" s="217"/>
      <c r="AT44" s="217"/>
      <c r="AU44" s="217"/>
      <c r="AV44" s="217"/>
      <c r="AW44" s="217"/>
      <c r="AX44" s="218"/>
      <c r="AY44" s="75"/>
      <c r="AZ44" s="50"/>
      <c r="BA44" s="45"/>
      <c r="BB44" s="51"/>
      <c r="BC44" s="63"/>
      <c r="BD44" s="45"/>
      <c r="BE44" s="45"/>
      <c r="BF44" s="45"/>
      <c r="BG44" s="45"/>
      <c r="BH44" s="45"/>
      <c r="BI44" s="45"/>
      <c r="BJ44" s="45"/>
      <c r="BK44" s="45"/>
      <c r="BL44" s="45"/>
      <c r="BM44" s="45"/>
      <c r="BN44" s="45"/>
      <c r="BO44" s="45"/>
      <c r="BP44" s="45"/>
      <c r="BQ44" s="51"/>
    </row>
    <row r="45" spans="15:88" ht="9.75" customHeight="1">
      <c r="O45" s="50"/>
      <c r="P45" s="45"/>
      <c r="Q45" s="45"/>
      <c r="R45" s="45"/>
      <c r="S45" s="45"/>
      <c r="T45" s="45"/>
      <c r="U45" s="45"/>
      <c r="V45" s="45"/>
      <c r="W45" s="45"/>
      <c r="X45" s="45"/>
      <c r="Y45" s="62"/>
      <c r="Z45" s="50"/>
      <c r="AA45" s="45"/>
      <c r="AB45" s="51"/>
      <c r="AC45" s="74"/>
      <c r="AD45" s="219"/>
      <c r="AE45" s="220"/>
      <c r="AF45" s="220"/>
      <c r="AG45" s="220"/>
      <c r="AH45" s="220"/>
      <c r="AI45" s="220"/>
      <c r="AJ45" s="690" t="s">
        <v>167</v>
      </c>
      <c r="AK45" s="690"/>
      <c r="AL45" s="690"/>
      <c r="AM45" s="690"/>
      <c r="AN45" s="690"/>
      <c r="AO45" s="690"/>
      <c r="AP45" s="690"/>
      <c r="AQ45" s="690"/>
      <c r="AR45" s="690"/>
      <c r="AS45" s="690"/>
      <c r="AT45" s="690"/>
      <c r="AU45" s="690"/>
      <c r="AV45" s="220"/>
      <c r="AW45" s="220"/>
      <c r="AX45" s="221"/>
      <c r="AY45" s="75"/>
      <c r="AZ45" s="50"/>
      <c r="BA45" s="45"/>
      <c r="BB45" s="51"/>
      <c r="BC45" s="63"/>
      <c r="BD45" s="45"/>
      <c r="BE45" s="45"/>
      <c r="BF45" s="45"/>
      <c r="BG45" s="45"/>
      <c r="BH45" s="45"/>
      <c r="BI45" s="45"/>
      <c r="BJ45" s="45"/>
      <c r="BK45" s="45"/>
      <c r="BL45" s="45"/>
      <c r="BM45" s="45"/>
      <c r="BN45" s="45"/>
      <c r="BO45" s="45"/>
      <c r="BP45" s="45"/>
      <c r="BQ45" s="51"/>
    </row>
    <row r="46" spans="15:88" ht="10.5" customHeight="1">
      <c r="O46" s="50"/>
      <c r="P46" s="45"/>
      <c r="Q46" s="45"/>
      <c r="R46" s="45"/>
      <c r="S46" s="45"/>
      <c r="T46" s="45"/>
      <c r="U46" s="45"/>
      <c r="V46" s="45"/>
      <c r="W46" s="45"/>
      <c r="X46" s="45"/>
      <c r="Y46" s="62"/>
      <c r="Z46" s="50"/>
      <c r="AA46" s="45"/>
      <c r="AB46" s="51"/>
      <c r="AC46" s="66"/>
      <c r="AD46" s="219"/>
      <c r="AE46" s="220"/>
      <c r="AF46" s="220"/>
      <c r="AG46" s="220"/>
      <c r="AH46" s="220"/>
      <c r="AI46" s="220"/>
      <c r="AJ46" s="690"/>
      <c r="AK46" s="690"/>
      <c r="AL46" s="690"/>
      <c r="AM46" s="690"/>
      <c r="AN46" s="690"/>
      <c r="AO46" s="690"/>
      <c r="AP46" s="690"/>
      <c r="AQ46" s="690"/>
      <c r="AR46" s="690"/>
      <c r="AS46" s="690"/>
      <c r="AT46" s="690"/>
      <c r="AU46" s="690"/>
      <c r="AV46" s="220"/>
      <c r="AW46" s="220"/>
      <c r="AX46" s="221"/>
      <c r="AY46" s="73"/>
      <c r="AZ46" s="50"/>
      <c r="BA46" s="45"/>
      <c r="BB46" s="51"/>
      <c r="BC46" s="63"/>
      <c r="BD46" s="45"/>
      <c r="BE46" s="45"/>
      <c r="BF46" s="45"/>
      <c r="BG46" s="45"/>
      <c r="BH46" s="45"/>
      <c r="BI46" s="45"/>
      <c r="BJ46" s="45"/>
      <c r="BK46" s="45"/>
      <c r="BL46" s="45"/>
      <c r="BM46" s="45"/>
      <c r="BN46" s="45"/>
      <c r="BO46" s="45"/>
      <c r="BP46" s="45"/>
      <c r="BQ46" s="51"/>
    </row>
    <row r="47" spans="15:88" ht="12" customHeight="1">
      <c r="O47" s="50"/>
      <c r="P47" s="45"/>
      <c r="Q47" s="45"/>
      <c r="R47" s="45"/>
      <c r="S47" s="45"/>
      <c r="T47" s="45"/>
      <c r="U47" s="45"/>
      <c r="V47" s="45"/>
      <c r="W47" s="45"/>
      <c r="X47" s="45"/>
      <c r="Y47" s="62"/>
      <c r="Z47" s="50"/>
      <c r="AA47" s="45"/>
      <c r="AB47" s="51"/>
      <c r="AC47" s="45"/>
      <c r="AD47" s="223"/>
      <c r="AE47" s="224"/>
      <c r="AF47" s="224"/>
      <c r="AG47" s="224"/>
      <c r="AH47" s="224"/>
      <c r="AI47" s="224"/>
      <c r="AJ47" s="224"/>
      <c r="AK47" s="224"/>
      <c r="AL47" s="224"/>
      <c r="AM47" s="224"/>
      <c r="AN47" s="224"/>
      <c r="AO47" s="224"/>
      <c r="AP47" s="224"/>
      <c r="AQ47" s="224"/>
      <c r="AR47" s="224"/>
      <c r="AS47" s="224"/>
      <c r="AT47" s="224"/>
      <c r="AU47" s="224"/>
      <c r="AV47" s="224"/>
      <c r="AW47" s="224"/>
      <c r="AX47" s="225"/>
      <c r="AY47" s="45"/>
      <c r="AZ47" s="50"/>
      <c r="BA47" s="45"/>
      <c r="BB47" s="51"/>
      <c r="BC47" s="63"/>
      <c r="BD47" s="45"/>
      <c r="BE47" s="45"/>
      <c r="BF47" s="45"/>
      <c r="BG47" s="45"/>
      <c r="BH47" s="45"/>
      <c r="BI47" s="45"/>
      <c r="BJ47" s="45"/>
      <c r="BK47" s="45"/>
      <c r="BL47" s="45"/>
      <c r="BM47" s="45"/>
      <c r="BN47" s="45"/>
      <c r="BO47" s="45"/>
      <c r="BP47" s="45"/>
      <c r="BQ47" s="51"/>
    </row>
    <row r="48" spans="15:88" ht="12" customHeight="1">
      <c r="O48" s="50"/>
      <c r="P48" s="45"/>
      <c r="Q48" s="45"/>
      <c r="R48" s="45"/>
      <c r="S48" s="45"/>
      <c r="T48" s="45"/>
      <c r="U48" s="45"/>
      <c r="V48" s="45"/>
      <c r="W48" s="45"/>
      <c r="X48" s="45"/>
      <c r="Y48" s="62"/>
      <c r="Z48" s="50"/>
      <c r="AA48" s="45"/>
      <c r="AB48" s="51"/>
      <c r="AC48" s="45"/>
      <c r="AD48" s="226"/>
      <c r="AE48" s="693">
        <f>+'Boq SW'!H10</f>
        <v>11</v>
      </c>
      <c r="AF48" s="685"/>
      <c r="AG48" s="685"/>
      <c r="AH48" s="685"/>
      <c r="AI48" s="227"/>
      <c r="AJ48" s="227"/>
      <c r="AK48" s="227"/>
      <c r="AL48" s="227"/>
      <c r="AM48" s="227"/>
      <c r="AN48" s="227"/>
      <c r="AO48" s="227"/>
      <c r="AP48" s="227"/>
      <c r="AQ48" s="227"/>
      <c r="AR48" s="227"/>
      <c r="AS48" s="227"/>
      <c r="AT48" s="227"/>
      <c r="AU48" s="220"/>
      <c r="AV48" s="220"/>
      <c r="AW48" s="220"/>
      <c r="AX48" s="228"/>
      <c r="AY48" s="45"/>
      <c r="AZ48" s="50"/>
      <c r="BA48" s="45"/>
      <c r="BB48" s="51"/>
      <c r="BC48" s="63"/>
      <c r="BD48" s="45"/>
      <c r="BE48" s="45"/>
      <c r="BF48" s="45"/>
      <c r="BG48" s="45"/>
      <c r="BH48" s="45"/>
      <c r="BI48" s="45"/>
      <c r="BJ48" s="45"/>
      <c r="BK48" s="45"/>
      <c r="BL48" s="45"/>
      <c r="BM48" s="45"/>
      <c r="BN48" s="45"/>
      <c r="BO48" s="45"/>
      <c r="BP48" s="45"/>
      <c r="BQ48" s="51"/>
    </row>
    <row r="49" spans="15:69" ht="12" customHeight="1">
      <c r="O49" s="50"/>
      <c r="P49" s="45"/>
      <c r="Q49" s="45"/>
      <c r="R49" s="45"/>
      <c r="S49" s="45"/>
      <c r="T49" s="45"/>
      <c r="U49" s="45"/>
      <c r="V49" s="45"/>
      <c r="W49" s="45"/>
      <c r="X49" s="45"/>
      <c r="Y49" s="69"/>
      <c r="Z49" s="52"/>
      <c r="AA49" s="46"/>
      <c r="AB49" s="53"/>
      <c r="AC49" s="46"/>
      <c r="AD49" s="226"/>
      <c r="AE49" s="220"/>
      <c r="AF49" s="220"/>
      <c r="AG49" s="227"/>
      <c r="AH49" s="227"/>
      <c r="AI49" s="227"/>
      <c r="AJ49" s="227"/>
      <c r="AK49" s="227"/>
      <c r="AL49" s="227"/>
      <c r="AM49" s="227"/>
      <c r="AN49" s="227"/>
      <c r="AO49" s="227"/>
      <c r="AP49" s="227"/>
      <c r="AQ49" s="227"/>
      <c r="AR49" s="227"/>
      <c r="AS49" s="227"/>
      <c r="AT49" s="227"/>
      <c r="AU49" s="220"/>
      <c r="AV49" s="220"/>
      <c r="AW49" s="220"/>
      <c r="AX49" s="228"/>
      <c r="AY49" s="46"/>
      <c r="AZ49" s="52"/>
      <c r="BA49" s="46"/>
      <c r="BB49" s="53"/>
      <c r="BC49" s="70"/>
      <c r="BD49" s="45"/>
      <c r="BE49" s="45"/>
      <c r="BF49" s="45"/>
      <c r="BG49" s="45"/>
      <c r="BH49" s="45"/>
      <c r="BI49" s="45"/>
      <c r="BJ49" s="45"/>
      <c r="BK49" s="45"/>
      <c r="BL49" s="45"/>
      <c r="BM49" s="45"/>
      <c r="BN49" s="45"/>
      <c r="BO49" s="45"/>
      <c r="BP49" s="45"/>
      <c r="BQ49" s="51"/>
    </row>
    <row r="50" spans="15:69" ht="12" customHeight="1">
      <c r="O50" s="50"/>
      <c r="P50" s="45"/>
      <c r="Q50" s="45"/>
      <c r="R50" s="45"/>
      <c r="S50" s="45"/>
      <c r="T50" s="45"/>
      <c r="U50" s="45"/>
      <c r="V50" s="45"/>
      <c r="W50" s="45"/>
      <c r="X50" s="45"/>
      <c r="Y50" s="45"/>
      <c r="Z50" s="45"/>
      <c r="AA50" s="45"/>
      <c r="AB50" s="45"/>
      <c r="AC50" s="45"/>
      <c r="AD50" s="226"/>
      <c r="AE50" s="220"/>
      <c r="AF50" s="220"/>
      <c r="AG50" s="220"/>
      <c r="AH50" s="220"/>
      <c r="AI50" s="220"/>
      <c r="AJ50" s="220"/>
      <c r="AK50" s="220"/>
      <c r="AL50" s="220"/>
      <c r="AM50" s="220"/>
      <c r="AN50" s="220"/>
      <c r="AO50" s="220"/>
      <c r="AP50" s="220"/>
      <c r="AQ50" s="220"/>
      <c r="AR50" s="220"/>
      <c r="AS50" s="220"/>
      <c r="AT50" s="220"/>
      <c r="AU50" s="220"/>
      <c r="AV50" s="220"/>
      <c r="AW50" s="220"/>
      <c r="AX50" s="228"/>
      <c r="AY50" s="45"/>
      <c r="AZ50" s="45"/>
      <c r="BA50" s="45"/>
      <c r="BB50" s="45"/>
      <c r="BC50" s="45"/>
      <c r="BD50" s="45"/>
      <c r="BE50" s="45"/>
      <c r="BF50" s="45"/>
      <c r="BG50" s="45"/>
      <c r="BH50" s="45"/>
      <c r="BI50" s="45"/>
      <c r="BJ50" s="45"/>
      <c r="BK50" s="45"/>
      <c r="BL50" s="45"/>
      <c r="BM50" s="45"/>
      <c r="BN50" s="45"/>
      <c r="BO50" s="45"/>
      <c r="BP50" s="45"/>
      <c r="BQ50" s="51"/>
    </row>
    <row r="51" spans="15:69" ht="12" customHeight="1">
      <c r="O51" s="50"/>
      <c r="P51" s="45"/>
      <c r="Q51" s="45"/>
      <c r="R51" s="45"/>
      <c r="S51" s="45"/>
      <c r="T51" s="45"/>
      <c r="U51" s="45"/>
      <c r="V51" s="45"/>
      <c r="W51" s="45"/>
      <c r="X51" s="45"/>
      <c r="Y51" s="45"/>
      <c r="Z51" s="45"/>
      <c r="AA51" s="45"/>
      <c r="AB51" s="45"/>
      <c r="AC51" s="45"/>
      <c r="AD51" s="226"/>
      <c r="AE51" s="220"/>
      <c r="AF51" s="220"/>
      <c r="AG51" s="220"/>
      <c r="AH51" s="220"/>
      <c r="AI51" s="220"/>
      <c r="AJ51" s="220"/>
      <c r="AK51" s="220"/>
      <c r="AL51" s="220"/>
      <c r="AM51" s="220"/>
      <c r="AN51" s="220"/>
      <c r="AO51" s="220"/>
      <c r="AP51" s="220"/>
      <c r="AQ51" s="220"/>
      <c r="AR51" s="220"/>
      <c r="AS51" s="220"/>
      <c r="AT51" s="220"/>
      <c r="AU51" s="220"/>
      <c r="AV51" s="220"/>
      <c r="AW51" s="220"/>
      <c r="AX51" s="228"/>
      <c r="AY51" s="45"/>
      <c r="AZ51" s="45"/>
      <c r="BA51" s="45"/>
      <c r="BB51" s="45"/>
      <c r="BC51" s="45"/>
      <c r="BD51" s="45"/>
      <c r="BE51" s="45"/>
      <c r="BF51" s="45"/>
      <c r="BG51" s="45"/>
      <c r="BH51" s="45"/>
      <c r="BI51" s="45"/>
      <c r="BJ51" s="45"/>
      <c r="BK51" s="45"/>
      <c r="BL51" s="45"/>
      <c r="BM51" s="45"/>
      <c r="BN51" s="45"/>
      <c r="BO51" s="45"/>
      <c r="BP51" s="45"/>
      <c r="BQ51" s="51"/>
    </row>
    <row r="52" spans="15:69" ht="12" customHeight="1">
      <c r="O52" s="50"/>
      <c r="P52" s="45"/>
      <c r="Q52" s="45"/>
      <c r="R52" s="45"/>
      <c r="S52" s="45"/>
      <c r="T52" s="45"/>
      <c r="U52" s="45"/>
      <c r="V52" s="45"/>
      <c r="W52" s="45"/>
      <c r="X52" s="45"/>
      <c r="Y52" s="45"/>
      <c r="Z52" s="45"/>
      <c r="AA52" s="45"/>
      <c r="AB52" s="45"/>
      <c r="AC52" s="45"/>
      <c r="AD52" s="229"/>
      <c r="AE52" s="222"/>
      <c r="AF52" s="222"/>
      <c r="AG52" s="222"/>
      <c r="AH52" s="222"/>
      <c r="AI52" s="222"/>
      <c r="AJ52" s="222"/>
      <c r="AK52" s="222"/>
      <c r="AL52" s="222"/>
      <c r="AM52" s="222"/>
      <c r="AN52" s="222"/>
      <c r="AO52" s="222"/>
      <c r="AP52" s="222"/>
      <c r="AQ52" s="222"/>
      <c r="AR52" s="222"/>
      <c r="AS52" s="222"/>
      <c r="AT52" s="222"/>
      <c r="AU52" s="222"/>
      <c r="AV52" s="222"/>
      <c r="AW52" s="222"/>
      <c r="AX52" s="230"/>
      <c r="AY52" s="45"/>
      <c r="AZ52" s="45"/>
      <c r="BA52" s="45"/>
      <c r="BB52" s="681" t="s">
        <v>162</v>
      </c>
      <c r="BC52" s="681"/>
      <c r="BD52" s="681"/>
      <c r="BE52" s="681"/>
      <c r="BF52" s="681"/>
      <c r="BG52" s="681"/>
      <c r="BH52" s="681"/>
      <c r="BI52" s="681"/>
      <c r="BJ52" s="681"/>
      <c r="BK52" s="681"/>
      <c r="BL52" s="681"/>
      <c r="BM52" s="681"/>
      <c r="BN52" s="681"/>
      <c r="BO52" s="45"/>
      <c r="BP52" s="45"/>
      <c r="BQ52" s="51"/>
    </row>
    <row r="53" spans="15:69" ht="6.75" customHeight="1">
      <c r="O53" s="50"/>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681"/>
      <c r="BC53" s="681"/>
      <c r="BD53" s="681"/>
      <c r="BE53" s="681"/>
      <c r="BF53" s="681"/>
      <c r="BG53" s="681"/>
      <c r="BH53" s="681"/>
      <c r="BI53" s="681"/>
      <c r="BJ53" s="681"/>
      <c r="BK53" s="681"/>
      <c r="BL53" s="681"/>
      <c r="BM53" s="681"/>
      <c r="BN53" s="681"/>
      <c r="BO53" s="45"/>
      <c r="BP53" s="45"/>
      <c r="BQ53" s="51"/>
    </row>
    <row r="54" spans="15:69" ht="6.75" customHeight="1">
      <c r="O54" s="50"/>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51"/>
    </row>
    <row r="55" spans="15:69" ht="6.75" customHeight="1">
      <c r="O55" s="50"/>
      <c r="P55" s="45"/>
      <c r="Q55" s="45"/>
      <c r="R55" s="45"/>
      <c r="S55" s="45"/>
      <c r="T55" s="45"/>
      <c r="U55" s="45"/>
      <c r="V55" s="45"/>
      <c r="W55" s="45"/>
      <c r="X55" s="45"/>
      <c r="Y55" s="45"/>
      <c r="Z55" s="45"/>
      <c r="AA55" s="45"/>
      <c r="AB55" s="45"/>
      <c r="AC55" s="45"/>
      <c r="AD55" s="45"/>
      <c r="AE55" s="45"/>
      <c r="AF55" s="45"/>
      <c r="AG55" s="45"/>
      <c r="AH55" s="45"/>
      <c r="AI55" s="45"/>
      <c r="AJ55" s="45"/>
      <c r="AK55" s="48"/>
      <c r="AL55" s="48"/>
      <c r="AM55" s="48"/>
      <c r="AN55" s="48"/>
      <c r="AO55" s="48"/>
      <c r="AP55" s="48"/>
      <c r="AQ55" s="48"/>
      <c r="AR55" s="48"/>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51"/>
    </row>
    <row r="56" spans="15:69" ht="6.75" customHeight="1">
      <c r="O56" s="50"/>
      <c r="P56" s="45"/>
      <c r="Q56" s="682" t="s">
        <v>168</v>
      </c>
      <c r="R56" s="682"/>
      <c r="S56" s="682"/>
      <c r="T56" s="682"/>
      <c r="U56" s="682"/>
      <c r="V56" s="682"/>
      <c r="W56" s="682"/>
      <c r="X56" s="682"/>
      <c r="Y56" s="682"/>
      <c r="Z56" s="682"/>
      <c r="AA56" s="682"/>
      <c r="AB56" s="682"/>
      <c r="AC56" s="682"/>
      <c r="AD56" s="45"/>
      <c r="AE56" s="45"/>
      <c r="AF56" s="45"/>
      <c r="AG56" s="45"/>
      <c r="AH56" s="45"/>
      <c r="AI56" s="45"/>
      <c r="AJ56" s="45"/>
      <c r="AK56" s="45"/>
      <c r="AL56" s="45"/>
      <c r="AM56" s="45"/>
      <c r="AN56" s="45"/>
      <c r="AO56" s="45"/>
      <c r="AP56" s="45"/>
      <c r="AQ56" s="45"/>
      <c r="AR56" s="682" t="s">
        <v>99</v>
      </c>
      <c r="AS56" s="682"/>
      <c r="AT56" s="682"/>
      <c r="AU56" s="682"/>
      <c r="AV56" s="682"/>
      <c r="AW56" s="682"/>
      <c r="AX56" s="682"/>
      <c r="AY56" s="682"/>
      <c r="AZ56" s="682"/>
      <c r="BA56" s="45"/>
      <c r="BB56" s="45"/>
      <c r="BC56" s="45"/>
      <c r="BD56" s="45"/>
      <c r="BE56" s="45"/>
      <c r="BF56" s="45"/>
      <c r="BG56" s="45"/>
      <c r="BH56" s="45"/>
      <c r="BI56" s="45"/>
      <c r="BJ56" s="45"/>
      <c r="BK56" s="45"/>
      <c r="BL56" s="45"/>
      <c r="BM56" s="45"/>
      <c r="BN56" s="45"/>
      <c r="BO56" s="45"/>
      <c r="BP56" s="45"/>
      <c r="BQ56" s="51"/>
    </row>
    <row r="57" spans="15:69" ht="6.75" customHeight="1">
      <c r="O57" s="50"/>
      <c r="P57" s="45"/>
      <c r="Q57" s="682"/>
      <c r="R57" s="682"/>
      <c r="S57" s="682"/>
      <c r="T57" s="682"/>
      <c r="U57" s="682"/>
      <c r="V57" s="682"/>
      <c r="W57" s="682"/>
      <c r="X57" s="682"/>
      <c r="Y57" s="682"/>
      <c r="Z57" s="682"/>
      <c r="AA57" s="682"/>
      <c r="AB57" s="682"/>
      <c r="AC57" s="682"/>
      <c r="AD57" s="45"/>
      <c r="AE57" s="45"/>
      <c r="AF57" s="45"/>
      <c r="AG57" s="45"/>
      <c r="AH57" s="45"/>
      <c r="AI57" s="45"/>
      <c r="AJ57" s="45"/>
      <c r="AK57" s="45"/>
      <c r="AL57" s="45"/>
      <c r="AM57" s="45"/>
      <c r="AN57" s="45"/>
      <c r="AO57" s="45"/>
      <c r="AP57" s="45"/>
      <c r="AQ57" s="45"/>
      <c r="AR57" s="682"/>
      <c r="AS57" s="682"/>
      <c r="AT57" s="682"/>
      <c r="AU57" s="682"/>
      <c r="AV57" s="682"/>
      <c r="AW57" s="682"/>
      <c r="AX57" s="682"/>
      <c r="AY57" s="682"/>
      <c r="AZ57" s="682"/>
      <c r="BA57" s="45"/>
      <c r="BB57" s="45"/>
      <c r="BC57" s="45"/>
      <c r="BD57" s="45"/>
      <c r="BE57" s="45"/>
      <c r="BF57" s="45"/>
      <c r="BG57" s="45"/>
      <c r="BH57" s="45"/>
      <c r="BI57" s="45"/>
      <c r="BJ57" s="45"/>
      <c r="BK57" s="45"/>
      <c r="BL57" s="45"/>
      <c r="BM57" s="45"/>
      <c r="BN57" s="45"/>
      <c r="BO57" s="45"/>
      <c r="BP57" s="45"/>
      <c r="BQ57" s="51"/>
    </row>
    <row r="58" spans="15:69" ht="6.75" customHeight="1">
      <c r="O58" s="50"/>
      <c r="P58" s="45"/>
      <c r="Q58" s="45"/>
      <c r="R58" s="45"/>
      <c r="S58" s="45"/>
      <c r="T58" s="681">
        <f>+AE48</f>
        <v>11</v>
      </c>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683">
        <f>+U15</f>
        <v>1.5</v>
      </c>
      <c r="AS58" s="682"/>
      <c r="AT58" s="682"/>
      <c r="AU58" s="682"/>
      <c r="AV58" s="682" t="s">
        <v>8</v>
      </c>
      <c r="AW58" s="682"/>
      <c r="AX58" s="45"/>
      <c r="AY58" s="45"/>
      <c r="AZ58" s="45"/>
      <c r="BA58" s="45"/>
      <c r="BB58" s="45"/>
      <c r="BC58" s="45"/>
      <c r="BD58" s="45"/>
      <c r="BE58" s="45"/>
      <c r="BF58" s="45"/>
      <c r="BG58" s="45"/>
      <c r="BH58" s="45"/>
      <c r="BI58" s="682" t="s">
        <v>48</v>
      </c>
      <c r="BJ58" s="682"/>
      <c r="BK58" s="682"/>
      <c r="BL58" s="682"/>
      <c r="BM58" s="682"/>
      <c r="BN58" s="45"/>
      <c r="BO58" s="45"/>
      <c r="BP58" s="45"/>
      <c r="BQ58" s="51"/>
    </row>
    <row r="59" spans="15:69" ht="6.75" customHeight="1">
      <c r="O59" s="50"/>
      <c r="P59" s="45"/>
      <c r="Q59" s="45"/>
      <c r="R59" s="45"/>
      <c r="S59" s="45"/>
      <c r="T59" s="681"/>
      <c r="U59" s="45"/>
      <c r="V59" s="45"/>
      <c r="W59" s="45"/>
      <c r="X59" s="45"/>
      <c r="Y59" s="45"/>
      <c r="Z59" s="45"/>
      <c r="AA59" s="45"/>
      <c r="AB59" s="45"/>
      <c r="AC59" s="45"/>
      <c r="AD59" s="50"/>
      <c r="AE59" s="45"/>
      <c r="AF59" s="45"/>
      <c r="AG59" s="45"/>
      <c r="AH59" s="45"/>
      <c r="AI59" s="45"/>
      <c r="AJ59" s="45"/>
      <c r="AK59" s="45"/>
      <c r="AL59" s="45"/>
      <c r="AM59" s="45"/>
      <c r="AN59" s="45"/>
      <c r="AO59" s="45"/>
      <c r="AP59" s="45"/>
      <c r="AQ59" s="45"/>
      <c r="AR59" s="682"/>
      <c r="AS59" s="682"/>
      <c r="AT59" s="682"/>
      <c r="AU59" s="682"/>
      <c r="AV59" s="682"/>
      <c r="AW59" s="682"/>
      <c r="AX59" s="50"/>
      <c r="AY59" s="45"/>
      <c r="AZ59" s="45"/>
      <c r="BA59" s="692">
        <v>0.4</v>
      </c>
      <c r="BB59" s="692"/>
      <c r="BC59" s="692"/>
      <c r="BD59" s="692"/>
      <c r="BE59" s="682" t="s">
        <v>8</v>
      </c>
      <c r="BF59" s="682"/>
      <c r="BG59" s="45"/>
      <c r="BH59" s="45"/>
      <c r="BI59" s="682"/>
      <c r="BJ59" s="682"/>
      <c r="BK59" s="682"/>
      <c r="BL59" s="682"/>
      <c r="BM59" s="682"/>
      <c r="BN59" s="45"/>
      <c r="BO59" s="45"/>
      <c r="BP59" s="45"/>
      <c r="BQ59" s="51"/>
    </row>
    <row r="60" spans="15:69" ht="6.75" customHeight="1">
      <c r="O60" s="50"/>
      <c r="P60" s="45"/>
      <c r="Q60" s="45"/>
      <c r="R60" s="45"/>
      <c r="S60" s="45"/>
      <c r="T60" s="45"/>
      <c r="U60" s="45"/>
      <c r="V60" s="45"/>
      <c r="W60" s="45"/>
      <c r="X60" s="45"/>
      <c r="Y60" s="45"/>
      <c r="Z60" s="45"/>
      <c r="AA60" s="45"/>
      <c r="AB60" s="45"/>
      <c r="AC60" s="45"/>
      <c r="AD60" s="52"/>
      <c r="AE60" s="45"/>
      <c r="AF60" s="45"/>
      <c r="AG60" s="45"/>
      <c r="AH60" s="45"/>
      <c r="AI60" s="45"/>
      <c r="AJ60" s="45"/>
      <c r="AK60" s="45"/>
      <c r="AL60" s="45"/>
      <c r="AM60" s="45"/>
      <c r="AN60" s="47"/>
      <c r="AO60" s="48"/>
      <c r="AP60" s="49"/>
      <c r="AQ60" s="45"/>
      <c r="AR60" s="45"/>
      <c r="AS60" s="45"/>
      <c r="AT60" s="45"/>
      <c r="AU60" s="45"/>
      <c r="AV60" s="45"/>
      <c r="AW60" s="51"/>
      <c r="AX60" s="45"/>
      <c r="AY60" s="45"/>
      <c r="AZ60" s="45"/>
      <c r="BA60" s="692"/>
      <c r="BB60" s="692"/>
      <c r="BC60" s="692"/>
      <c r="BD60" s="692"/>
      <c r="BE60" s="682"/>
      <c r="BF60" s="682"/>
      <c r="BG60" s="45"/>
      <c r="BH60" s="45"/>
      <c r="BI60" s="45"/>
      <c r="BJ60" s="45"/>
      <c r="BK60" s="45"/>
      <c r="BL60" s="45"/>
      <c r="BM60" s="45"/>
      <c r="BN60" s="45"/>
      <c r="BO60" s="45"/>
      <c r="BP60" s="45"/>
      <c r="BQ60" s="51"/>
    </row>
    <row r="61" spans="15:69" ht="6.75" customHeight="1">
      <c r="O61" s="50"/>
      <c r="P61" s="57"/>
      <c r="Q61" s="58"/>
      <c r="R61" s="58"/>
      <c r="S61" s="58"/>
      <c r="T61" s="58"/>
      <c r="U61" s="58"/>
      <c r="V61" s="58"/>
      <c r="W61" s="58"/>
      <c r="X61" s="58"/>
      <c r="Y61" s="58"/>
      <c r="Z61" s="58"/>
      <c r="AA61" s="59"/>
      <c r="AB61" s="80"/>
      <c r="AC61" s="80"/>
      <c r="AD61" s="80"/>
      <c r="AE61" s="80"/>
      <c r="AF61" s="80"/>
      <c r="AG61" s="80"/>
      <c r="AH61" s="80"/>
      <c r="AI61" s="80"/>
      <c r="AJ61" s="80"/>
      <c r="AK61" s="80"/>
      <c r="AL61" s="80"/>
      <c r="AM61" s="80"/>
      <c r="AN61" s="50"/>
      <c r="AO61" s="45"/>
      <c r="AP61" s="51"/>
      <c r="AQ61" s="45"/>
      <c r="AR61" s="45"/>
      <c r="AS61" s="45"/>
      <c r="AT61" s="45"/>
      <c r="AU61" s="45"/>
      <c r="AV61" s="45"/>
      <c r="AW61" s="51"/>
      <c r="AX61" s="45"/>
      <c r="AY61" s="45"/>
      <c r="AZ61" s="45"/>
      <c r="BA61" s="45"/>
      <c r="BB61" s="45"/>
      <c r="BC61" s="45"/>
      <c r="BD61" s="45"/>
      <c r="BE61" s="45"/>
      <c r="BF61" s="45"/>
      <c r="BG61" s="45"/>
      <c r="BH61" s="45"/>
      <c r="BI61" s="45"/>
      <c r="BJ61" s="45"/>
      <c r="BK61" s="45"/>
      <c r="BL61" s="45"/>
      <c r="BM61" s="45"/>
      <c r="BN61" s="45"/>
      <c r="BO61" s="45"/>
      <c r="BP61" s="45"/>
      <c r="BQ61" s="51"/>
    </row>
    <row r="62" spans="15:69" ht="6.75" customHeight="1">
      <c r="O62" s="50"/>
      <c r="P62" s="45"/>
      <c r="Q62" s="45"/>
      <c r="R62" s="45"/>
      <c r="S62" s="45"/>
      <c r="T62" s="45"/>
      <c r="U62" s="45"/>
      <c r="V62" s="45"/>
      <c r="W62" s="45"/>
      <c r="X62" s="45"/>
      <c r="AB62" s="48"/>
      <c r="AC62" s="48"/>
      <c r="AD62" s="47"/>
      <c r="AE62" s="48"/>
      <c r="AF62" s="48"/>
      <c r="AG62" s="48"/>
      <c r="AH62" s="48"/>
      <c r="AI62" s="48"/>
      <c r="AJ62" s="48"/>
      <c r="AK62" s="48"/>
      <c r="AL62" s="48"/>
      <c r="AM62" s="48"/>
      <c r="AN62" s="50"/>
      <c r="AO62" s="45"/>
      <c r="AP62" s="51"/>
      <c r="AQ62" s="48"/>
      <c r="AR62" s="48"/>
      <c r="AS62" s="48"/>
      <c r="AT62" s="48"/>
      <c r="AU62" s="48"/>
      <c r="AV62" s="48"/>
      <c r="AW62" s="49"/>
      <c r="AX62" s="48"/>
      <c r="AY62" s="48"/>
      <c r="AZ62" s="48"/>
      <c r="BA62" s="48"/>
      <c r="BB62" s="48"/>
      <c r="BC62" s="48"/>
      <c r="BD62" s="48"/>
      <c r="BE62" s="45"/>
      <c r="BF62" s="45"/>
      <c r="BG62" s="45"/>
      <c r="BH62" s="45"/>
      <c r="BI62" s="45"/>
      <c r="BJ62" s="45"/>
      <c r="BK62" s="45"/>
      <c r="BL62" s="45"/>
      <c r="BM62" s="45"/>
      <c r="BN62" s="45"/>
      <c r="BO62" s="45"/>
      <c r="BP62" s="45"/>
      <c r="BQ62" s="51"/>
    </row>
    <row r="63" spans="15:69" ht="6.75" customHeight="1">
      <c r="O63" s="50"/>
      <c r="P63" s="45"/>
      <c r="Q63" s="45"/>
      <c r="R63" s="45"/>
      <c r="S63" s="45"/>
      <c r="T63" s="45"/>
      <c r="U63" s="45"/>
      <c r="V63" s="45"/>
      <c r="W63" s="684" t="s">
        <v>100</v>
      </c>
      <c r="X63" s="685"/>
      <c r="Y63" s="685"/>
      <c r="Z63" s="45"/>
      <c r="AA63" s="45"/>
      <c r="AB63" s="45"/>
      <c r="AC63" s="45"/>
      <c r="AD63" s="52"/>
      <c r="AE63" s="46"/>
      <c r="AF63" s="46"/>
      <c r="AG63" s="46"/>
      <c r="AH63" s="46"/>
      <c r="AI63" s="46"/>
      <c r="AJ63" s="46"/>
      <c r="AK63" s="46"/>
      <c r="AL63" s="46"/>
      <c r="AM63" s="46"/>
      <c r="AN63" s="52"/>
      <c r="AO63" s="46"/>
      <c r="AP63" s="53"/>
      <c r="AQ63" s="46"/>
      <c r="AR63" s="46"/>
      <c r="AS63" s="46"/>
      <c r="AT63" s="46"/>
      <c r="AU63" s="46"/>
      <c r="AV63" s="46"/>
      <c r="AW63" s="53"/>
      <c r="AX63" s="45"/>
      <c r="AY63" s="45"/>
      <c r="AZ63" s="45"/>
      <c r="BA63" s="692">
        <f>+U21-0.1</f>
        <v>0.5</v>
      </c>
      <c r="BB63" s="692"/>
      <c r="BC63" s="692"/>
      <c r="BD63" s="692"/>
      <c r="BE63" s="682" t="s">
        <v>8</v>
      </c>
      <c r="BF63" s="682"/>
      <c r="BG63" s="45"/>
      <c r="BH63" s="45"/>
      <c r="BI63" s="45"/>
      <c r="BJ63" s="45"/>
      <c r="BK63" s="45"/>
      <c r="BL63" s="45"/>
      <c r="BM63" s="45"/>
      <c r="BN63" s="45"/>
      <c r="BO63" s="45"/>
      <c r="BP63" s="45"/>
      <c r="BQ63" s="51"/>
    </row>
    <row r="64" spans="15:69" ht="6.75" customHeight="1">
      <c r="O64" s="50"/>
      <c r="P64" s="45"/>
      <c r="Q64" s="45"/>
      <c r="R64" s="45"/>
      <c r="S64" s="45"/>
      <c r="T64" s="45"/>
      <c r="U64" s="45"/>
      <c r="V64" s="45"/>
      <c r="W64" s="685"/>
      <c r="X64" s="685"/>
      <c r="Y64" s="685"/>
      <c r="Z64" s="45"/>
      <c r="AA64" s="45"/>
      <c r="AB64" s="45"/>
      <c r="AC64" s="45"/>
      <c r="AD64" s="57"/>
      <c r="AE64" s="58"/>
      <c r="AF64" s="58"/>
      <c r="AG64" s="58"/>
      <c r="AH64" s="58"/>
      <c r="AI64" s="58"/>
      <c r="AJ64" s="58"/>
      <c r="AK64" s="58"/>
      <c r="AL64" s="58"/>
      <c r="AM64" s="58"/>
      <c r="AN64" s="81"/>
      <c r="AO64" s="81"/>
      <c r="AP64" s="81"/>
      <c r="AQ64" s="58"/>
      <c r="AR64" s="58"/>
      <c r="AS64" s="58"/>
      <c r="AT64" s="58"/>
      <c r="AU64" s="58"/>
      <c r="AV64" s="58"/>
      <c r="AW64" s="59"/>
      <c r="AX64" s="45"/>
      <c r="AY64" s="45"/>
      <c r="AZ64" s="45"/>
      <c r="BA64" s="692"/>
      <c r="BB64" s="692"/>
      <c r="BC64" s="692"/>
      <c r="BD64" s="692"/>
      <c r="BE64" s="682"/>
      <c r="BF64" s="682"/>
      <c r="BG64" s="45"/>
      <c r="BH64" s="45"/>
      <c r="BI64" s="45"/>
      <c r="BJ64" s="45"/>
      <c r="BK64" s="45"/>
      <c r="BL64" s="45"/>
      <c r="BM64" s="45"/>
      <c r="BN64" s="45"/>
      <c r="BO64" s="45"/>
      <c r="BP64" s="45"/>
      <c r="BQ64" s="51"/>
    </row>
    <row r="65" spans="15:69" ht="6.75" customHeight="1">
      <c r="O65" s="50"/>
      <c r="P65" s="45"/>
      <c r="Q65" s="45"/>
      <c r="R65" s="45"/>
      <c r="S65" s="45"/>
      <c r="T65" s="45"/>
      <c r="U65" s="45"/>
      <c r="V65" s="45"/>
      <c r="W65" s="45"/>
      <c r="X65" s="45"/>
      <c r="Y65" s="45"/>
      <c r="Z65" s="45"/>
      <c r="AE65" s="681" t="s">
        <v>163</v>
      </c>
      <c r="AF65" s="681"/>
      <c r="AG65" s="681"/>
      <c r="AH65" s="681"/>
      <c r="AI65" s="681"/>
      <c r="AJ65" s="681"/>
      <c r="AK65" s="681"/>
      <c r="AL65" s="681"/>
      <c r="AM65" s="681"/>
      <c r="AN65" s="681"/>
      <c r="AO65" s="681"/>
      <c r="AP65" s="681"/>
      <c r="AQ65" s="681"/>
      <c r="AR65" s="681"/>
      <c r="AU65" s="45"/>
      <c r="AV65" s="45"/>
      <c r="AW65" s="45"/>
      <c r="AX65" s="45"/>
      <c r="AY65" s="45"/>
      <c r="AZ65" s="45"/>
      <c r="BA65" s="45"/>
      <c r="BB65" s="45"/>
      <c r="BC65" s="45"/>
      <c r="BD65" s="45"/>
      <c r="BE65" s="45"/>
      <c r="BF65" s="45"/>
      <c r="BG65" s="45"/>
      <c r="BH65" s="45"/>
      <c r="BI65" s="45"/>
      <c r="BJ65" s="45"/>
      <c r="BK65" s="45"/>
      <c r="BL65" s="45"/>
      <c r="BM65" s="45"/>
      <c r="BN65" s="45"/>
      <c r="BO65" s="45"/>
      <c r="BP65" s="45"/>
      <c r="BQ65" s="51"/>
    </row>
    <row r="66" spans="15:69" ht="6.75" customHeight="1">
      <c r="O66" s="50"/>
      <c r="P66" s="45"/>
      <c r="Q66" s="45"/>
      <c r="R66" s="45"/>
      <c r="S66" s="45"/>
      <c r="T66" s="45"/>
      <c r="U66" s="45"/>
      <c r="V66" s="45"/>
      <c r="W66" s="45"/>
      <c r="X66" s="45"/>
      <c r="Y66" s="45"/>
      <c r="Z66" s="45"/>
      <c r="AA66" s="45"/>
      <c r="AB66" s="45"/>
      <c r="AC66" s="45"/>
      <c r="AD66" s="45"/>
      <c r="AE66" s="681"/>
      <c r="AF66" s="681"/>
      <c r="AG66" s="681"/>
      <c r="AH66" s="681"/>
      <c r="AI66" s="681"/>
      <c r="AJ66" s="681"/>
      <c r="AK66" s="681"/>
      <c r="AL66" s="681"/>
      <c r="AM66" s="681"/>
      <c r="AN66" s="681"/>
      <c r="AO66" s="681"/>
      <c r="AP66" s="681"/>
      <c r="AQ66" s="681"/>
      <c r="AR66" s="681"/>
      <c r="AU66" s="45"/>
      <c r="AV66" s="45"/>
      <c r="AW66" s="45"/>
      <c r="AX66" s="45"/>
      <c r="AY66" s="45"/>
      <c r="AZ66" s="45"/>
      <c r="BA66" s="45"/>
      <c r="BB66" s="45"/>
      <c r="BC66" s="45"/>
      <c r="BD66" s="45"/>
      <c r="BE66" s="45"/>
      <c r="BF66" s="45"/>
      <c r="BG66" s="45"/>
      <c r="BH66" s="45"/>
      <c r="BI66" s="45"/>
      <c r="BJ66" s="45"/>
      <c r="BK66" s="45"/>
      <c r="BL66" s="45"/>
      <c r="BM66" s="45"/>
      <c r="BN66" s="45"/>
      <c r="BO66" s="45"/>
      <c r="BP66" s="45"/>
      <c r="BQ66" s="51"/>
    </row>
    <row r="67" spans="15:69" ht="6.75" customHeight="1">
      <c r="O67" s="52"/>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53"/>
    </row>
  </sheetData>
  <sheetProtection password="E3F5" sheet="1"/>
  <mergeCells count="38">
    <mergeCell ref="BA63:BD64"/>
    <mergeCell ref="BI58:BM59"/>
    <mergeCell ref="BE63:BF64"/>
    <mergeCell ref="AE48:AH48"/>
    <mergeCell ref="T58:T59"/>
    <mergeCell ref="Q56:AC57"/>
    <mergeCell ref="BE59:BF60"/>
    <mergeCell ref="BA59:BD60"/>
    <mergeCell ref="BB52:BN53"/>
    <mergeCell ref="BK40:BL41"/>
    <mergeCell ref="AJ45:AU46"/>
    <mergeCell ref="AZ14:BB15"/>
    <mergeCell ref="Z18:AB19"/>
    <mergeCell ref="AZ38:BB39"/>
    <mergeCell ref="AW30:BL31"/>
    <mergeCell ref="BD16:BH17"/>
    <mergeCell ref="BI16:BJ17"/>
    <mergeCell ref="AJ21:AL22"/>
    <mergeCell ref="AM21:AN22"/>
    <mergeCell ref="AI32:AM33"/>
    <mergeCell ref="AN32:AO33"/>
    <mergeCell ref="AH15:AL16"/>
    <mergeCell ref="AM15:AN16"/>
    <mergeCell ref="AL41:AN42"/>
    <mergeCell ref="T27:AC30"/>
    <mergeCell ref="S5:BG6"/>
    <mergeCell ref="AF26:AS27"/>
    <mergeCell ref="BF40:BJ41"/>
    <mergeCell ref="U15:W16"/>
    <mergeCell ref="X15:Y16"/>
    <mergeCell ref="U21:W22"/>
    <mergeCell ref="X21:Y22"/>
    <mergeCell ref="Z40:AB42"/>
    <mergeCell ref="AE65:AR66"/>
    <mergeCell ref="AR56:AZ57"/>
    <mergeCell ref="AR58:AU59"/>
    <mergeCell ref="AV58:AW59"/>
    <mergeCell ref="W63:Y6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J49"/>
  <sheetViews>
    <sheetView view="pageBreakPreview" zoomScale="60" workbookViewId="0">
      <selection activeCell="H9" sqref="H9"/>
    </sheetView>
  </sheetViews>
  <sheetFormatPr defaultRowHeight="12.75"/>
  <cols>
    <col min="1" max="1" width="0.140625" customWidth="1"/>
    <col min="2" max="2" width="5" customWidth="1"/>
    <col min="3" max="3" width="9.7109375" hidden="1" customWidth="1"/>
    <col min="4" max="4" width="44.28515625" style="105" customWidth="1"/>
    <col min="7" max="8" width="11" bestFit="1" customWidth="1"/>
  </cols>
  <sheetData>
    <row r="3" spans="2:10" ht="15.75" customHeight="1">
      <c r="B3" s="694" t="s">
        <v>181</v>
      </c>
      <c r="C3" s="694"/>
      <c r="D3" s="694"/>
      <c r="E3" s="694"/>
      <c r="F3" s="694"/>
      <c r="G3" s="231" t="str">
        <f>'cost estimate'!A2</f>
        <v>xzke&amp; iqjdsyk</v>
      </c>
      <c r="H3" s="231"/>
      <c r="I3" s="231"/>
      <c r="J3" s="232"/>
    </row>
    <row r="4" spans="2:10" ht="31.5">
      <c r="B4" s="82" t="s">
        <v>101</v>
      </c>
      <c r="C4" s="83" t="s">
        <v>102</v>
      </c>
      <c r="D4" s="104" t="s">
        <v>103</v>
      </c>
      <c r="E4" s="82" t="s">
        <v>0</v>
      </c>
      <c r="F4" s="82" t="s">
        <v>104</v>
      </c>
      <c r="G4" s="84" t="s">
        <v>105</v>
      </c>
      <c r="H4" s="84" t="s">
        <v>106</v>
      </c>
      <c r="I4" s="85" t="s">
        <v>107</v>
      </c>
      <c r="J4" s="86" t="s">
        <v>108</v>
      </c>
    </row>
    <row r="5" spans="2:10" ht="15.75">
      <c r="B5" s="82"/>
      <c r="C5" s="83">
        <v>2301</v>
      </c>
      <c r="D5" s="102" t="s">
        <v>54</v>
      </c>
      <c r="E5" s="82" t="s">
        <v>5</v>
      </c>
      <c r="F5" s="82">
        <v>1</v>
      </c>
      <c r="G5" s="87">
        <f>+'Design Nala Bund Drg &amp; Summary'!D18</f>
        <v>6.2633592204127257</v>
      </c>
      <c r="H5" s="87">
        <f>'Design Nala Bund Drg &amp; Summary'!D67</f>
        <v>0</v>
      </c>
      <c r="I5" s="85"/>
      <c r="J5" s="88">
        <f>+PRODUCT(F5:I5)</f>
        <v>0</v>
      </c>
    </row>
    <row r="6" spans="2:10" ht="15.75">
      <c r="B6" s="82"/>
      <c r="C6" s="83"/>
      <c r="D6" s="102" t="s">
        <v>55</v>
      </c>
      <c r="E6" s="82"/>
      <c r="F6" s="82"/>
      <c r="G6" s="84"/>
      <c r="H6" s="84"/>
      <c r="I6" s="85"/>
      <c r="J6" s="88"/>
    </row>
    <row r="7" spans="2:10" ht="15.75">
      <c r="B7" s="82"/>
      <c r="C7" s="83"/>
      <c r="D7" s="102" t="s">
        <v>56</v>
      </c>
      <c r="E7" s="82"/>
      <c r="F7" s="82"/>
      <c r="G7" s="84"/>
      <c r="H7" s="84"/>
      <c r="I7" s="85"/>
      <c r="J7" s="88"/>
    </row>
    <row r="8" spans="2:10" ht="15.75">
      <c r="B8" s="89" t="s">
        <v>109</v>
      </c>
      <c r="C8" s="90" t="s">
        <v>109</v>
      </c>
      <c r="D8" s="91" t="s">
        <v>110</v>
      </c>
      <c r="E8" s="92"/>
      <c r="F8" s="92"/>
      <c r="G8" s="92"/>
      <c r="H8" s="88"/>
      <c r="I8" s="92"/>
      <c r="J8" s="93"/>
    </row>
    <row r="9" spans="2:10" ht="15.75">
      <c r="B9" s="89"/>
      <c r="C9" s="90"/>
      <c r="D9" s="92" t="s">
        <v>157</v>
      </c>
      <c r="E9" s="92" t="s">
        <v>6</v>
      </c>
      <c r="F9" s="92">
        <v>1</v>
      </c>
      <c r="G9" s="88">
        <f>+G5+2*0.6</f>
        <v>7.4633592204127259</v>
      </c>
      <c r="H9" s="88">
        <v>0.6</v>
      </c>
      <c r="I9" s="92">
        <v>0.6</v>
      </c>
      <c r="J9" s="94">
        <f>+I9*H9*G9*F9</f>
        <v>2.6868093193485811</v>
      </c>
    </row>
    <row r="10" spans="2:10" ht="15.75">
      <c r="B10" s="89"/>
      <c r="C10" s="90"/>
      <c r="D10" s="92" t="s">
        <v>166</v>
      </c>
      <c r="E10" s="92" t="s">
        <v>6</v>
      </c>
      <c r="F10" s="92">
        <v>1</v>
      </c>
      <c r="G10" s="88">
        <f>+G9</f>
        <v>7.4633592204127259</v>
      </c>
      <c r="H10" s="88">
        <f>+'Design Nala Bund Drg &amp; Summary'!D21*'Design Nala Bund Drg &amp; Summary'!D22+1</f>
        <v>11</v>
      </c>
      <c r="I10" s="88">
        <v>0.15</v>
      </c>
      <c r="J10" s="94">
        <f>+I10*H10*G10*F10</f>
        <v>12.314542713680996</v>
      </c>
    </row>
    <row r="11" spans="2:10" ht="15.75">
      <c r="B11" s="89"/>
      <c r="C11" s="90"/>
      <c r="D11" s="92" t="s">
        <v>126</v>
      </c>
      <c r="E11" s="92" t="s">
        <v>6</v>
      </c>
      <c r="F11" s="92">
        <v>2</v>
      </c>
      <c r="G11" s="88">
        <f>'WW Plan'!BF40</f>
        <v>19.5</v>
      </c>
      <c r="H11" s="88">
        <v>0.5</v>
      </c>
      <c r="I11" s="92">
        <f>+I9</f>
        <v>0.6</v>
      </c>
      <c r="J11" s="94">
        <f>+I11*H11*G11*F11</f>
        <v>11.7</v>
      </c>
    </row>
    <row r="12" spans="2:10" ht="15.75">
      <c r="B12" s="89"/>
      <c r="C12" s="90"/>
      <c r="D12" s="92"/>
      <c r="E12" s="92"/>
      <c r="F12" s="92"/>
      <c r="G12" s="88"/>
      <c r="H12" s="88"/>
      <c r="I12" s="88"/>
      <c r="J12" s="94"/>
    </row>
    <row r="13" spans="2:10" ht="15.75">
      <c r="B13" s="89"/>
      <c r="C13" s="90"/>
      <c r="D13" s="92" t="s">
        <v>112</v>
      </c>
      <c r="E13" s="92"/>
      <c r="F13" s="92"/>
      <c r="G13" s="92"/>
      <c r="H13" s="88"/>
      <c r="I13" s="92"/>
      <c r="J13" s="94">
        <f>SUM(J9:J11)</f>
        <v>26.701352033029579</v>
      </c>
    </row>
    <row r="14" spans="2:10" ht="15.75">
      <c r="B14" s="89">
        <v>3</v>
      </c>
      <c r="C14" s="90"/>
      <c r="D14" s="95" t="s">
        <v>113</v>
      </c>
      <c r="E14" s="92"/>
      <c r="F14" s="92"/>
      <c r="G14" s="92"/>
      <c r="H14" s="88"/>
      <c r="I14" s="92"/>
      <c r="J14" s="96"/>
    </row>
    <row r="15" spans="2:10" ht="15.75">
      <c r="B15" s="89"/>
      <c r="C15" s="97"/>
      <c r="D15" s="95" t="s">
        <v>114</v>
      </c>
      <c r="E15" s="92" t="s">
        <v>6</v>
      </c>
      <c r="F15" s="92"/>
      <c r="G15" s="88">
        <f>+J13</f>
        <v>26.701352033029579</v>
      </c>
      <c r="H15" s="88">
        <f>(SUM(J25+J20)*0.25)</f>
        <v>9.4796939546607693</v>
      </c>
      <c r="I15" s="92"/>
      <c r="J15" s="98">
        <f>+G15-H15</f>
        <v>17.221658078368812</v>
      </c>
    </row>
    <row r="16" spans="2:10" ht="15.75">
      <c r="B16" s="89">
        <v>4</v>
      </c>
      <c r="C16" s="90"/>
      <c r="D16" s="99" t="s">
        <v>115</v>
      </c>
      <c r="E16" s="92"/>
      <c r="F16" s="88"/>
      <c r="G16" s="92"/>
      <c r="H16" s="88"/>
      <c r="I16" s="92"/>
      <c r="J16" s="96"/>
    </row>
    <row r="17" spans="2:10" ht="15.75">
      <c r="B17" s="89"/>
      <c r="C17" s="90"/>
      <c r="D17" s="92" t="s">
        <v>158</v>
      </c>
      <c r="E17" s="92" t="s">
        <v>6</v>
      </c>
      <c r="F17" s="92">
        <v>1</v>
      </c>
      <c r="G17" s="88">
        <f>+G9</f>
        <v>7.4633592204127259</v>
      </c>
      <c r="H17" s="88">
        <f>+H9</f>
        <v>0.6</v>
      </c>
      <c r="I17" s="92">
        <v>0.1</v>
      </c>
      <c r="J17" s="94">
        <f>+I17*H17*G17*F17</f>
        <v>0.44780155322476356</v>
      </c>
    </row>
    <row r="18" spans="2:10" ht="15.75">
      <c r="B18" s="89"/>
      <c r="C18" s="90"/>
      <c r="D18" s="92" t="s">
        <v>126</v>
      </c>
      <c r="E18" s="92" t="s">
        <v>6</v>
      </c>
      <c r="F18" s="92">
        <v>2</v>
      </c>
      <c r="G18" s="88">
        <f>+G11</f>
        <v>19.5</v>
      </c>
      <c r="H18" s="88">
        <f>+H17</f>
        <v>0.6</v>
      </c>
      <c r="I18" s="92">
        <f>+I17</f>
        <v>0.1</v>
      </c>
      <c r="J18" s="94">
        <f>+I18*H18*G18*F18</f>
        <v>2.34</v>
      </c>
    </row>
    <row r="19" spans="2:10" ht="15.75">
      <c r="B19" s="89"/>
      <c r="C19" s="90"/>
      <c r="D19" s="92" t="s">
        <v>111</v>
      </c>
      <c r="E19" s="92" t="s">
        <v>6</v>
      </c>
      <c r="F19" s="92">
        <v>1</v>
      </c>
      <c r="G19" s="88">
        <f>+G17</f>
        <v>7.4633592204127259</v>
      </c>
      <c r="H19" s="88">
        <f>+H10</f>
        <v>11</v>
      </c>
      <c r="I19" s="88">
        <v>0.1</v>
      </c>
      <c r="J19" s="94">
        <f>+I19*H19*G19*F19</f>
        <v>8.2096951424539988</v>
      </c>
    </row>
    <row r="20" spans="2:10" ht="15.75">
      <c r="B20" s="89"/>
      <c r="C20" s="90"/>
      <c r="D20" s="91" t="s">
        <v>116</v>
      </c>
      <c r="E20" s="92"/>
      <c r="F20" s="92"/>
      <c r="G20" s="92"/>
      <c r="H20" s="88"/>
      <c r="I20" s="92"/>
      <c r="J20" s="98">
        <f>SUM(J17:J19)</f>
        <v>10.997496695678763</v>
      </c>
    </row>
    <row r="21" spans="2:10" ht="15.75">
      <c r="B21" s="89">
        <v>5</v>
      </c>
      <c r="C21" s="90"/>
      <c r="D21" s="99" t="s">
        <v>117</v>
      </c>
      <c r="E21" s="92"/>
      <c r="F21" s="88"/>
      <c r="G21" s="92"/>
      <c r="H21" s="88"/>
      <c r="I21" s="92"/>
      <c r="J21" s="96"/>
    </row>
    <row r="22" spans="2:10" ht="15.75">
      <c r="B22" s="89"/>
      <c r="C22" s="90"/>
      <c r="D22" s="92" t="s">
        <v>159</v>
      </c>
      <c r="E22" s="92" t="s">
        <v>6</v>
      </c>
      <c r="F22" s="92">
        <v>1</v>
      </c>
      <c r="G22" s="88">
        <f>+G17</f>
        <v>7.4633592204127259</v>
      </c>
      <c r="H22" s="88">
        <v>0.5</v>
      </c>
      <c r="I22" s="92">
        <v>0.6</v>
      </c>
      <c r="J22" s="94">
        <f>+I22*H22*G22*F22</f>
        <v>2.2390077661238177</v>
      </c>
    </row>
    <row r="23" spans="2:10" ht="15.75">
      <c r="B23" s="89"/>
      <c r="C23" s="90"/>
      <c r="D23" s="92" t="s">
        <v>126</v>
      </c>
      <c r="E23" s="92" t="s">
        <v>6</v>
      </c>
      <c r="F23" s="92">
        <v>2</v>
      </c>
      <c r="G23" s="88">
        <f>+G18</f>
        <v>19.5</v>
      </c>
      <c r="H23" s="88">
        <v>0.5</v>
      </c>
      <c r="I23" s="88">
        <f>+(1.5+0.4)/2</f>
        <v>0.95</v>
      </c>
      <c r="J23" s="94">
        <f>+I23*H23*G23*F23</f>
        <v>18.524999999999999</v>
      </c>
    </row>
    <row r="24" spans="2:10" ht="15.75">
      <c r="B24" s="89"/>
      <c r="C24" s="90"/>
      <c r="D24" s="92" t="s">
        <v>111</v>
      </c>
      <c r="E24" s="92" t="s">
        <v>6</v>
      </c>
      <c r="F24" s="92">
        <v>1</v>
      </c>
      <c r="G24" s="88">
        <f>+G22</f>
        <v>7.4633592204127259</v>
      </c>
      <c r="H24" s="88">
        <f>+H19</f>
        <v>11</v>
      </c>
      <c r="I24" s="251">
        <v>7.4999999999999997E-2</v>
      </c>
      <c r="J24" s="94">
        <f>+I24*H24*G24*F24</f>
        <v>6.1572713568404982</v>
      </c>
    </row>
    <row r="25" spans="2:10" ht="15.75">
      <c r="B25" s="89"/>
      <c r="C25" s="90"/>
      <c r="D25" s="99" t="s">
        <v>118</v>
      </c>
      <c r="E25" s="92" t="s">
        <v>6</v>
      </c>
      <c r="F25" s="92"/>
      <c r="G25" s="91" t="s">
        <v>127</v>
      </c>
      <c r="H25" s="88"/>
      <c r="I25" s="92"/>
      <c r="J25" s="98">
        <f>SUM(J22:J24)</f>
        <v>26.921279122964314</v>
      </c>
    </row>
    <row r="26" spans="2:10" ht="15.75">
      <c r="B26" s="89">
        <v>7</v>
      </c>
      <c r="C26" s="100"/>
      <c r="D26" s="92" t="s">
        <v>119</v>
      </c>
      <c r="E26" s="92"/>
      <c r="F26" s="92"/>
      <c r="G26" s="92"/>
      <c r="H26" s="88"/>
      <c r="I26" s="92"/>
      <c r="J26" s="98"/>
    </row>
    <row r="27" spans="2:10" ht="15.75">
      <c r="B27" s="89"/>
      <c r="C27" s="90"/>
      <c r="D27" s="92"/>
      <c r="E27" s="92"/>
      <c r="F27" s="92"/>
      <c r="G27" s="88"/>
      <c r="H27" s="88"/>
      <c r="I27" s="92"/>
      <c r="J27" s="94"/>
    </row>
    <row r="28" spans="2:10" ht="15.75">
      <c r="B28" s="89"/>
      <c r="C28" s="90"/>
      <c r="D28" s="92" t="s">
        <v>121</v>
      </c>
      <c r="E28" s="92" t="s">
        <v>5</v>
      </c>
      <c r="F28" s="92">
        <v>2</v>
      </c>
      <c r="G28" s="88">
        <f>G22</f>
        <v>7.4633592204127259</v>
      </c>
      <c r="H28" s="88">
        <v>0.3</v>
      </c>
      <c r="I28" s="92"/>
      <c r="J28" s="94">
        <f>+H28*G28*F28</f>
        <v>4.4780155322476354</v>
      </c>
    </row>
    <row r="29" spans="2:10" ht="15.75">
      <c r="B29" s="89"/>
      <c r="C29" s="90"/>
      <c r="D29" s="92" t="s">
        <v>122</v>
      </c>
      <c r="E29" s="92" t="s">
        <v>5</v>
      </c>
      <c r="F29" s="92">
        <v>2</v>
      </c>
      <c r="G29" s="88">
        <f>+G23</f>
        <v>19.5</v>
      </c>
      <c r="H29" s="88">
        <f>+I23</f>
        <v>0.95</v>
      </c>
      <c r="I29" s="92"/>
      <c r="J29" s="94">
        <f>+H29*G29*F29</f>
        <v>37.049999999999997</v>
      </c>
    </row>
    <row r="30" spans="2:10" ht="15.75">
      <c r="B30" s="89"/>
      <c r="C30" s="90"/>
      <c r="D30" s="92" t="s">
        <v>128</v>
      </c>
      <c r="E30" s="92" t="s">
        <v>5</v>
      </c>
      <c r="F30" s="92">
        <v>2</v>
      </c>
      <c r="G30" s="92">
        <v>6</v>
      </c>
      <c r="H30" s="88">
        <v>0.5</v>
      </c>
      <c r="I30" s="92"/>
      <c r="J30" s="94">
        <f>+H30*G30*F30</f>
        <v>6</v>
      </c>
    </row>
    <row r="31" spans="2:10" ht="15.75">
      <c r="B31" s="89"/>
      <c r="C31" s="90"/>
      <c r="D31" s="92" t="s">
        <v>129</v>
      </c>
      <c r="E31" s="92" t="s">
        <v>5</v>
      </c>
      <c r="F31" s="92">
        <v>1</v>
      </c>
      <c r="G31" s="88">
        <f>+G28</f>
        <v>7.4633592204127259</v>
      </c>
      <c r="H31" s="88">
        <v>0.5</v>
      </c>
      <c r="I31" s="92"/>
      <c r="J31" s="94">
        <f>+H31*G31*F31</f>
        <v>3.731679610206363</v>
      </c>
    </row>
    <row r="32" spans="2:10" ht="15.75">
      <c r="B32" s="89"/>
      <c r="C32" s="90"/>
      <c r="D32" s="92" t="s">
        <v>123</v>
      </c>
      <c r="E32" s="92"/>
      <c r="F32" s="92"/>
      <c r="G32" s="92"/>
      <c r="H32" s="88"/>
      <c r="I32" s="92"/>
      <c r="J32" s="98">
        <f>SUM(J27:J31)</f>
        <v>51.259695142453999</v>
      </c>
    </row>
    <row r="33" spans="2:10" ht="15.75">
      <c r="B33" s="89">
        <v>8</v>
      </c>
      <c r="C33" s="90"/>
      <c r="D33" s="92" t="s">
        <v>124</v>
      </c>
      <c r="E33" s="92"/>
      <c r="F33" s="92"/>
      <c r="G33" s="92"/>
      <c r="H33" s="88"/>
      <c r="I33" s="92"/>
      <c r="J33" s="98"/>
    </row>
    <row r="34" spans="2:10" ht="15.75">
      <c r="B34" s="89"/>
      <c r="C34" s="90"/>
      <c r="D34" s="92" t="s">
        <v>156</v>
      </c>
      <c r="E34" s="92" t="s">
        <v>5</v>
      </c>
      <c r="F34" s="92">
        <v>2</v>
      </c>
      <c r="G34" s="88">
        <f>G28</f>
        <v>7.4633592204127259</v>
      </c>
      <c r="H34" s="88"/>
      <c r="I34" s="92">
        <v>0.6</v>
      </c>
      <c r="J34" s="94">
        <f>+I34*G34*F34</f>
        <v>8.9560310644952708</v>
      </c>
    </row>
    <row r="35" spans="2:10" ht="15.75">
      <c r="B35" s="89"/>
      <c r="C35" s="90"/>
      <c r="D35" s="92" t="s">
        <v>126</v>
      </c>
      <c r="E35" s="92" t="s">
        <v>5</v>
      </c>
      <c r="F35" s="92">
        <v>4</v>
      </c>
      <c r="G35" s="92">
        <f>+G30</f>
        <v>6</v>
      </c>
      <c r="H35" s="88"/>
      <c r="I35" s="88">
        <f>+H29</f>
        <v>0.95</v>
      </c>
      <c r="J35" s="94">
        <f>+I35*G35*F35</f>
        <v>22.799999999999997</v>
      </c>
    </row>
    <row r="36" spans="2:10" ht="15.75">
      <c r="B36" s="89"/>
      <c r="C36" s="90"/>
      <c r="D36" s="92" t="s">
        <v>111</v>
      </c>
      <c r="E36" s="92" t="s">
        <v>5</v>
      </c>
      <c r="F36" s="92">
        <v>2</v>
      </c>
      <c r="G36" s="88">
        <f>H24</f>
        <v>11</v>
      </c>
      <c r="H36" s="88"/>
      <c r="I36" s="92">
        <v>0.15</v>
      </c>
      <c r="J36" s="94">
        <f>+I36*G36*F36</f>
        <v>3.3</v>
      </c>
    </row>
    <row r="37" spans="2:10" ht="15.75">
      <c r="B37" s="89"/>
      <c r="C37" s="90"/>
      <c r="D37" s="92" t="s">
        <v>130</v>
      </c>
      <c r="E37" s="92" t="s">
        <v>5</v>
      </c>
      <c r="F37" s="92">
        <v>4</v>
      </c>
      <c r="G37" s="88">
        <v>0.6</v>
      </c>
      <c r="H37" s="88"/>
      <c r="I37" s="92">
        <v>0.5</v>
      </c>
      <c r="J37" s="94">
        <f>+I37*G37*F37</f>
        <v>1.2</v>
      </c>
    </row>
    <row r="38" spans="2:10" ht="15.75">
      <c r="B38" s="89"/>
      <c r="C38" s="90"/>
      <c r="D38" s="92" t="s">
        <v>125</v>
      </c>
      <c r="E38" s="92" t="s">
        <v>5</v>
      </c>
      <c r="F38" s="92"/>
      <c r="G38" s="92"/>
      <c r="H38" s="88"/>
      <c r="I38" s="92"/>
      <c r="J38" s="98">
        <f>SUM(J34:J37)</f>
        <v>36.256031064495268</v>
      </c>
    </row>
    <row r="39" spans="2:10" ht="15.75">
      <c r="B39" s="89"/>
      <c r="C39" s="90"/>
      <c r="D39" s="95"/>
      <c r="E39" s="92"/>
      <c r="F39" s="101"/>
      <c r="G39" s="88"/>
      <c r="H39" s="88"/>
      <c r="I39" s="92"/>
      <c r="J39" s="88"/>
    </row>
    <row r="40" spans="2:10" ht="15.75">
      <c r="B40" s="89"/>
      <c r="C40" s="90"/>
      <c r="D40" s="95"/>
      <c r="E40" s="92"/>
      <c r="F40" s="92"/>
      <c r="G40" s="88"/>
      <c r="H40" s="92"/>
      <c r="I40" s="92"/>
      <c r="J40" s="88"/>
    </row>
    <row r="41" spans="2:10" ht="15.75">
      <c r="B41" s="89"/>
      <c r="C41" s="90"/>
      <c r="D41" s="102"/>
      <c r="E41" s="92"/>
      <c r="F41" s="92"/>
      <c r="G41" s="92"/>
      <c r="H41" s="92"/>
      <c r="I41" s="92"/>
      <c r="J41" s="88"/>
    </row>
    <row r="42" spans="2:10" ht="15.75">
      <c r="B42" s="89"/>
      <c r="C42" s="90"/>
      <c r="D42" s="102"/>
      <c r="E42" s="92"/>
      <c r="F42" s="92"/>
      <c r="G42" s="92"/>
      <c r="H42" s="92"/>
      <c r="I42" s="92"/>
      <c r="J42" s="88"/>
    </row>
    <row r="43" spans="2:10" ht="15.75">
      <c r="B43" s="89"/>
      <c r="C43" s="90"/>
      <c r="D43" s="102"/>
      <c r="E43" s="92"/>
      <c r="F43" s="92"/>
      <c r="G43" s="103"/>
      <c r="H43" s="92"/>
      <c r="I43" s="92"/>
      <c r="J43" s="88"/>
    </row>
    <row r="44" spans="2:10" ht="15.75">
      <c r="B44" s="89"/>
      <c r="C44" s="90"/>
      <c r="D44" s="102"/>
      <c r="E44" s="92"/>
      <c r="F44" s="92"/>
      <c r="G44" s="103"/>
      <c r="H44" s="92"/>
      <c r="I44" s="92"/>
      <c r="J44" s="88"/>
    </row>
    <row r="45" spans="2:10" ht="15.75">
      <c r="B45" s="89"/>
      <c r="C45" s="90"/>
      <c r="D45" s="102"/>
      <c r="E45" s="92"/>
      <c r="F45" s="92"/>
      <c r="G45" s="92"/>
      <c r="H45" s="92"/>
      <c r="I45" s="92"/>
      <c r="J45" s="88"/>
    </row>
    <row r="49" spans="9:9">
      <c r="I49" t="s">
        <v>200</v>
      </c>
    </row>
  </sheetData>
  <sheetProtection password="E3F5" sheet="1"/>
  <mergeCells count="1">
    <mergeCell ref="B3:F3"/>
  </mergeCells>
  <pageMargins left="0.7" right="0.7" top="0.75" bottom="0.75" header="0.3" footer="0.3"/>
  <pageSetup scale="70"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Technical Report</vt:lpstr>
      <vt:lpstr>Input data</vt:lpstr>
      <vt:lpstr>Design Nala Bund Drg &amp; Summary</vt:lpstr>
      <vt:lpstr>Qty estimate</vt:lpstr>
      <vt:lpstr>cost estimate</vt:lpstr>
      <vt:lpstr> Abstract cost </vt:lpstr>
      <vt:lpstr>Design Nala Bund Drg &amp; Summ (P)</vt:lpstr>
      <vt:lpstr>WW Plan</vt:lpstr>
      <vt:lpstr>Boq SW</vt:lpstr>
      <vt:lpstr>Sheet3</vt:lpstr>
      <vt:lpstr>' Abstract cost '!Print_Area</vt:lpstr>
      <vt:lpstr>'Boq SW'!Print_Area</vt:lpstr>
      <vt:lpstr>'cost estimate'!Print_Area</vt:lpstr>
      <vt:lpstr>'Design Nala Bund Drg &amp; Summ (P)'!Print_Area</vt:lpstr>
      <vt:lpstr>'Design Nala Bund Drg &amp; Summary'!Print_Area</vt:lpstr>
      <vt:lpstr>'Input data'!Print_Area</vt:lpstr>
      <vt:lpstr>'Qty estimate'!Print_Area</vt:lpstr>
      <vt:lpstr>'Technical Report'!Print_Area</vt:lpstr>
      <vt:lpstr>'WW Plan'!Print_Area</vt:lpstr>
      <vt:lpstr>' Abstract cost '!Print_Titles</vt:lpstr>
      <vt:lpstr>'cost estimate'!Print_Titles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madhu sudan tiwari</cp:lastModifiedBy>
  <cp:lastPrinted>2019-09-26T12:46:40Z</cp:lastPrinted>
  <dcterms:created xsi:type="dcterms:W3CDTF">1996-10-14T23:33:28Z</dcterms:created>
  <dcterms:modified xsi:type="dcterms:W3CDTF">2020-04-30T09:36:14Z</dcterms:modified>
</cp:coreProperties>
</file>